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TO CAPITAL HUMANO\Versão 2\Anexos_Pensamento Lote 8 e Lote 9\Mapas de Medições_PENSAMENTO\"/>
    </mc:Choice>
  </mc:AlternateContent>
  <bookViews>
    <workbookView xWindow="-108" yWindow="-108" windowWidth="23256" windowHeight="12456" tabRatio="866" activeTab="1"/>
  </bookViews>
  <sheets>
    <sheet name="Lista de Casas" sheetId="9" r:id="rId1"/>
    <sheet name="Resumo Lote 9" sheetId="17" r:id="rId2"/>
    <sheet name="Cecília Lopes Tavares" sheetId="2" r:id="rId3"/>
    <sheet name="Augusta Garcia Moreno" sheetId="1" r:id="rId4"/>
    <sheet name="Raquel Fortes" sheetId="6" r:id="rId5"/>
    <sheet name="Ostelina Duarte" sheetId="7" r:id="rId6"/>
    <sheet name="Aleida Moreno" sheetId="8" r:id="rId7"/>
    <sheet name="Cecilia Gomes" sheetId="10" r:id="rId8"/>
    <sheet name="Felismina Martins Tavares" sheetId="11" r:id="rId9"/>
    <sheet name="Indira Almeida Tavares" sheetId="12" r:id="rId10"/>
    <sheet name="Audilia Lopes" sheetId="13" r:id="rId11"/>
    <sheet name="Isa Maria Tavares" sheetId="14" r:id="rId12"/>
    <sheet name="Genoveva Lopes" sheetId="15" r:id="rId13"/>
    <sheet name="Elisandra Gomes" sheetId="16" r:id="rId14"/>
  </sheets>
  <definedNames>
    <definedName name="_xlnm.Print_Area" localSheetId="1">'Resumo Lote 9'!$A$1:$F$44</definedName>
    <definedName name="_xlnm.Print_Titles" localSheetId="1">'Resumo Lote 9'!$7:$8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7" l="1"/>
  <c r="B30" i="17"/>
  <c r="B28" i="17"/>
  <c r="B26" i="17"/>
  <c r="B24" i="17"/>
  <c r="B22" i="17"/>
  <c r="B20" i="17"/>
  <c r="B18" i="17"/>
  <c r="B16" i="17"/>
  <c r="B14" i="17"/>
  <c r="B12" i="17"/>
  <c r="B10" i="17"/>
  <c r="F34" i="17"/>
  <c r="F45" i="14" l="1"/>
  <c r="D44" i="14"/>
  <c r="F44" i="14" s="1"/>
  <c r="G42" i="14" s="1"/>
  <c r="F40" i="14"/>
  <c r="G38" i="14"/>
  <c r="F36" i="14"/>
  <c r="G34" i="14" s="1"/>
  <c r="F32" i="14"/>
  <c r="F31" i="14"/>
  <c r="G29" i="14"/>
  <c r="D27" i="14"/>
  <c r="F27" i="14" s="1"/>
  <c r="G25" i="14" s="1"/>
  <c r="F23" i="14"/>
  <c r="G21" i="14" s="1"/>
  <c r="D23" i="14"/>
  <c r="D19" i="14"/>
  <c r="F19" i="14" s="1"/>
  <c r="D18" i="14"/>
  <c r="F18" i="14" s="1"/>
  <c r="F13" i="14"/>
  <c r="D13" i="14"/>
  <c r="D12" i="14"/>
  <c r="F12" i="14" s="1"/>
  <c r="G15" i="14" l="1"/>
  <c r="G10" i="14"/>
  <c r="G47" i="14" s="1"/>
  <c r="F75" i="8" l="1"/>
  <c r="F74" i="8"/>
  <c r="G72" i="8"/>
  <c r="F70" i="8"/>
  <c r="G68" i="8"/>
  <c r="F66" i="8"/>
  <c r="G64" i="8" s="1"/>
  <c r="F62" i="8"/>
  <c r="D61" i="8"/>
  <c r="F61" i="8" s="1"/>
  <c r="G59" i="8" s="1"/>
  <c r="F57" i="8"/>
  <c r="G55" i="8"/>
  <c r="F53" i="8"/>
  <c r="G51" i="8" s="1"/>
  <c r="F49" i="8"/>
  <c r="F48" i="8"/>
  <c r="F47" i="8"/>
  <c r="D45" i="8"/>
  <c r="F45" i="8" s="1"/>
  <c r="D44" i="8"/>
  <c r="F44" i="8" s="1"/>
  <c r="D38" i="8"/>
  <c r="F38" i="8" s="1"/>
  <c r="D37" i="8"/>
  <c r="F37" i="8" s="1"/>
  <c r="D33" i="8"/>
  <c r="F33" i="8" s="1"/>
  <c r="D32" i="8"/>
  <c r="F32" i="8" s="1"/>
  <c r="D28" i="8"/>
  <c r="F28" i="8" s="1"/>
  <c r="F27" i="8"/>
  <c r="D27" i="8"/>
  <c r="F26" i="8"/>
  <c r="D26" i="8"/>
  <c r="D25" i="8"/>
  <c r="F25" i="8" s="1"/>
  <c r="D23" i="8"/>
  <c r="F23" i="8" s="1"/>
  <c r="D19" i="8"/>
  <c r="F19" i="8" s="1"/>
  <c r="G17" i="8" s="1"/>
  <c r="D15" i="8"/>
  <c r="F15" i="8" s="1"/>
  <c r="D14" i="8"/>
  <c r="F14" i="8" s="1"/>
  <c r="F13" i="8"/>
  <c r="D13" i="8"/>
  <c r="F12" i="8"/>
  <c r="D12" i="8"/>
  <c r="F47" i="7"/>
  <c r="G45" i="7"/>
  <c r="F43" i="7"/>
  <c r="G41" i="7"/>
  <c r="F39" i="7"/>
  <c r="G37" i="7"/>
  <c r="F35" i="7"/>
  <c r="G33" i="7" s="1"/>
  <c r="F31" i="7"/>
  <c r="F30" i="7"/>
  <c r="D28" i="7"/>
  <c r="F28" i="7" s="1"/>
  <c r="G25" i="7" s="1"/>
  <c r="D23" i="7"/>
  <c r="F23" i="7" s="1"/>
  <c r="D22" i="7"/>
  <c r="F22" i="7" s="1"/>
  <c r="F21" i="7"/>
  <c r="D21" i="7"/>
  <c r="D17" i="7"/>
  <c r="F17" i="7" s="1"/>
  <c r="F16" i="7"/>
  <c r="D16" i="7"/>
  <c r="F12" i="7"/>
  <c r="G10" i="7" s="1"/>
  <c r="D12" i="7"/>
  <c r="F68" i="6"/>
  <c r="F67" i="6"/>
  <c r="G65" i="6"/>
  <c r="F63" i="6"/>
  <c r="G61" i="6"/>
  <c r="F59" i="6"/>
  <c r="G57" i="6"/>
  <c r="F55" i="6"/>
  <c r="G53" i="6"/>
  <c r="F51" i="6"/>
  <c r="G49" i="6"/>
  <c r="F47" i="6"/>
  <c r="G45" i="6"/>
  <c r="F43" i="6"/>
  <c r="F42" i="6"/>
  <c r="F41" i="6"/>
  <c r="F39" i="6"/>
  <c r="D39" i="6"/>
  <c r="D34" i="6"/>
  <c r="F34" i="6" s="1"/>
  <c r="D33" i="6"/>
  <c r="F33" i="6" s="1"/>
  <c r="F29" i="6"/>
  <c r="G27" i="6" s="1"/>
  <c r="D29" i="6"/>
  <c r="D25" i="6"/>
  <c r="F25" i="6" s="1"/>
  <c r="D24" i="6"/>
  <c r="F24" i="6" s="1"/>
  <c r="D23" i="6"/>
  <c r="F23" i="6" s="1"/>
  <c r="D22" i="6"/>
  <c r="F22" i="6" s="1"/>
  <c r="D20" i="6"/>
  <c r="F20" i="6" s="1"/>
  <c r="F16" i="6"/>
  <c r="G15" i="6" s="1"/>
  <c r="D16" i="6"/>
  <c r="D13" i="6"/>
  <c r="F13" i="6" s="1"/>
  <c r="D12" i="6"/>
  <c r="F12" i="6" s="1"/>
  <c r="G41" i="8" l="1"/>
  <c r="G30" i="8"/>
  <c r="G10" i="8"/>
  <c r="G19" i="7"/>
  <c r="G14" i="7"/>
  <c r="G36" i="6"/>
  <c r="G10" i="6"/>
  <c r="G21" i="8"/>
  <c r="D39" i="8"/>
  <c r="F39" i="8" s="1"/>
  <c r="G35" i="8" s="1"/>
  <c r="G49" i="7"/>
  <c r="G18" i="6"/>
  <c r="G31" i="6"/>
  <c r="G77" i="8" l="1"/>
  <c r="G70" i="6"/>
  <c r="F73" i="1"/>
  <c r="F72" i="1"/>
  <c r="G70" i="1" s="1"/>
  <c r="F68" i="1"/>
  <c r="G66" i="1"/>
  <c r="G62" i="1"/>
  <c r="F60" i="1"/>
  <c r="G58" i="1" s="1"/>
  <c r="F56" i="1"/>
  <c r="F55" i="1"/>
  <c r="G52" i="1" s="1"/>
  <c r="F54" i="1"/>
  <c r="F50" i="1"/>
  <c r="F49" i="1"/>
  <c r="G47" i="1"/>
  <c r="F45" i="1"/>
  <c r="G43" i="1" s="1"/>
  <c r="F41" i="1"/>
  <c r="F40" i="1"/>
  <c r="F39" i="1"/>
  <c r="D37" i="1"/>
  <c r="F37" i="1" s="1"/>
  <c r="F32" i="1"/>
  <c r="D32" i="1"/>
  <c r="F31" i="1"/>
  <c r="D31" i="1"/>
  <c r="D30" i="1"/>
  <c r="F30" i="1" s="1"/>
  <c r="D26" i="1"/>
  <c r="F26" i="1" s="1"/>
  <c r="G24" i="1" s="1"/>
  <c r="F22" i="1"/>
  <c r="D22" i="1"/>
  <c r="D21" i="1"/>
  <c r="F21" i="1" s="1"/>
  <c r="D20" i="1"/>
  <c r="F20" i="1" s="1"/>
  <c r="F19" i="1"/>
  <c r="D19" i="1"/>
  <c r="F17" i="1"/>
  <c r="D17" i="1"/>
  <c r="D14" i="1"/>
  <c r="G12" i="1"/>
  <c r="D10" i="1"/>
  <c r="F10" i="1" s="1"/>
  <c r="G8" i="1" s="1"/>
  <c r="F46" i="2"/>
  <c r="F45" i="2"/>
  <c r="G43" i="2" s="1"/>
  <c r="F41" i="2"/>
  <c r="G39" i="2" s="1"/>
  <c r="F37" i="2"/>
  <c r="G35" i="2"/>
  <c r="F33" i="2"/>
  <c r="G31" i="2"/>
  <c r="F29" i="2"/>
  <c r="G27" i="2" s="1"/>
  <c r="D25" i="2"/>
  <c r="F25" i="2" s="1"/>
  <c r="G23" i="2" s="1"/>
  <c r="F21" i="2"/>
  <c r="G19" i="2" s="1"/>
  <c r="D21" i="2"/>
  <c r="F17" i="2"/>
  <c r="D17" i="2"/>
  <c r="D16" i="2"/>
  <c r="F16" i="2" s="1"/>
  <c r="F11" i="2"/>
  <c r="D11" i="2"/>
  <c r="F10" i="2"/>
  <c r="D10" i="2"/>
  <c r="G34" i="1" l="1"/>
  <c r="G28" i="1"/>
  <c r="G16" i="1"/>
  <c r="G13" i="2"/>
  <c r="G8" i="2"/>
  <c r="G48" i="2"/>
  <c r="G75" i="1" l="1"/>
  <c r="F53" i="16"/>
  <c r="G51" i="16" s="1"/>
  <c r="F49" i="16"/>
  <c r="F48" i="16"/>
  <c r="G46" i="16"/>
  <c r="F44" i="16"/>
  <c r="G42" i="16"/>
  <c r="F40" i="16"/>
  <c r="G38" i="16" s="1"/>
  <c r="G31" i="16"/>
  <c r="F29" i="16"/>
  <c r="D29" i="16"/>
  <c r="D28" i="16"/>
  <c r="F28" i="16" s="1"/>
  <c r="F27" i="16"/>
  <c r="F23" i="16"/>
  <c r="D22" i="16"/>
  <c r="F22" i="16" s="1"/>
  <c r="D18" i="16"/>
  <c r="F18" i="16" s="1"/>
  <c r="D17" i="16"/>
  <c r="F17" i="16" s="1"/>
  <c r="F12" i="16"/>
  <c r="G10" i="16"/>
  <c r="F39" i="15"/>
  <c r="G37" i="15"/>
  <c r="F35" i="15"/>
  <c r="F34" i="15"/>
  <c r="G32" i="15"/>
  <c r="F30" i="15"/>
  <c r="G28" i="15"/>
  <c r="F26" i="15"/>
  <c r="G24" i="15" s="1"/>
  <c r="G17" i="15"/>
  <c r="F15" i="15"/>
  <c r="F14" i="15"/>
  <c r="D13" i="15"/>
  <c r="F13" i="15" s="1"/>
  <c r="F12" i="15"/>
  <c r="F54" i="13"/>
  <c r="G52" i="13"/>
  <c r="F50" i="13"/>
  <c r="F49" i="13"/>
  <c r="G47" i="13"/>
  <c r="F45" i="13"/>
  <c r="G43" i="13"/>
  <c r="F41" i="13"/>
  <c r="G39" i="13"/>
  <c r="F37" i="13"/>
  <c r="F36" i="13"/>
  <c r="F35" i="13"/>
  <c r="G32" i="13"/>
  <c r="D30" i="13"/>
  <c r="F30" i="13" s="1"/>
  <c r="D29" i="13"/>
  <c r="F29" i="13" s="1"/>
  <c r="D28" i="13"/>
  <c r="F28" i="13" s="1"/>
  <c r="F24" i="13"/>
  <c r="D23" i="13"/>
  <c r="F23" i="13" s="1"/>
  <c r="D19" i="13"/>
  <c r="F19" i="13" s="1"/>
  <c r="D18" i="13"/>
  <c r="F18" i="13" s="1"/>
  <c r="D13" i="13"/>
  <c r="F13" i="13" s="1"/>
  <c r="D12" i="13"/>
  <c r="F12" i="13" s="1"/>
  <c r="G10" i="13" s="1"/>
  <c r="F23" i="12"/>
  <c r="D22" i="12"/>
  <c r="F22" i="12" s="1"/>
  <c r="D18" i="12"/>
  <c r="F18" i="12" s="1"/>
  <c r="F17" i="12"/>
  <c r="D17" i="12"/>
  <c r="F12" i="12"/>
  <c r="G10" i="12" s="1"/>
  <c r="F52" i="11"/>
  <c r="G50" i="11"/>
  <c r="F48" i="11"/>
  <c r="G46" i="11"/>
  <c r="F44" i="11"/>
  <c r="G42" i="11"/>
  <c r="F40" i="11"/>
  <c r="G38" i="11" s="1"/>
  <c r="F36" i="11"/>
  <c r="F35" i="11"/>
  <c r="F34" i="11"/>
  <c r="G31" i="11"/>
  <c r="D29" i="11"/>
  <c r="F29" i="11" s="1"/>
  <c r="F28" i="11"/>
  <c r="D28" i="11"/>
  <c r="D27" i="11"/>
  <c r="F27" i="11" s="1"/>
  <c r="F23" i="11"/>
  <c r="G21" i="11" s="1"/>
  <c r="D19" i="11"/>
  <c r="F19" i="11" s="1"/>
  <c r="F18" i="11"/>
  <c r="D18" i="11"/>
  <c r="F13" i="11"/>
  <c r="D12" i="11"/>
  <c r="F12" i="11" s="1"/>
  <c r="F36" i="10"/>
  <c r="G34" i="10" s="1"/>
  <c r="F32" i="10"/>
  <c r="G30" i="10"/>
  <c r="F28" i="10"/>
  <c r="G26" i="10"/>
  <c r="F24" i="10"/>
  <c r="D24" i="10"/>
  <c r="D22" i="10"/>
  <c r="D23" i="10" s="1"/>
  <c r="F23" i="10" s="1"/>
  <c r="D18" i="10"/>
  <c r="F18" i="10" s="1"/>
  <c r="D17" i="10"/>
  <c r="F17" i="10" s="1"/>
  <c r="D12" i="10"/>
  <c r="F12" i="10" s="1"/>
  <c r="G10" i="10" s="1"/>
  <c r="G25" i="16" l="1"/>
  <c r="G20" i="16"/>
  <c r="G14" i="16"/>
  <c r="G10" i="15"/>
  <c r="G41" i="15" s="1"/>
  <c r="G26" i="13"/>
  <c r="G21" i="13"/>
  <c r="G20" i="12"/>
  <c r="G14" i="12"/>
  <c r="G25" i="11"/>
  <c r="G15" i="11"/>
  <c r="G10" i="11"/>
  <c r="G14" i="10"/>
  <c r="G15" i="13"/>
  <c r="F22" i="10"/>
  <c r="G20" i="10" s="1"/>
  <c r="G55" i="16" l="1"/>
  <c r="G56" i="13"/>
  <c r="G25" i="12"/>
  <c r="G54" i="11"/>
  <c r="G38" i="10"/>
</calcChain>
</file>

<file path=xl/comments1.xml><?xml version="1.0" encoding="utf-8"?>
<comments xmlns="http://schemas.openxmlformats.org/spreadsheetml/2006/main">
  <authors>
    <author>DGH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<sst xmlns="http://schemas.openxmlformats.org/spreadsheetml/2006/main" count="956" uniqueCount="226">
  <si>
    <t>PROPRIETÁRIA (O)</t>
  </si>
  <si>
    <t>Cecília Lopes Tavares</t>
  </si>
  <si>
    <t>Augusta Garcia Moreno</t>
  </si>
  <si>
    <t>Raquel Fortes Monteiro</t>
  </si>
  <si>
    <t>Ostelinda Duarte Lopes</t>
  </si>
  <si>
    <t>Aleida Morreno Barros</t>
  </si>
  <si>
    <t>Elisandra Gomes</t>
  </si>
  <si>
    <t>Genoveva Lopes</t>
  </si>
  <si>
    <t>Isa Maria Tavares Semedo</t>
  </si>
  <si>
    <t>Audilia Lopes Dos Santos</t>
  </si>
  <si>
    <t>Indira Almeida Tavares</t>
  </si>
  <si>
    <t>Felismina Martins Tavares</t>
  </si>
  <si>
    <t>Cecilia Gomes</t>
  </si>
  <si>
    <t>REQ.</t>
  </si>
  <si>
    <t>LOCAL</t>
  </si>
  <si>
    <t>PENSAMENTO - MUNICÍPIO DA PRAIA</t>
  </si>
  <si>
    <t>OBRA</t>
  </si>
  <si>
    <t>PROPR.</t>
  </si>
  <si>
    <t>CECILIA GOMES</t>
  </si>
  <si>
    <t>Data: NOVEMBRO DE 2022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</si>
  <si>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</si>
  <si>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</si>
  <si>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</si>
  <si>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</si>
  <si>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</si>
  <si>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</si>
  <si>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</si>
  <si>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</si>
  <si>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</si>
  <si>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</si>
  <si>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</si>
  <si>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</si>
  <si>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</si>
  <si>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Demolição da </t>
    </r>
    <r>
      <rPr>
        <b/>
        <sz val="10"/>
        <rFont val="Times New Roman"/>
        <family val="1"/>
      </rPr>
      <t>laje em betão armado</t>
    </r>
    <r>
      <rPr>
        <sz val="10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</si>
  <si>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Times New Roman"/>
        <family val="1"/>
      </rPr>
      <t>3</t>
    </r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</si>
  <si>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</si>
  <si>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</si>
  <si>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</si>
  <si>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2.1.1</t>
  </si>
  <si>
    <t>Vigas</t>
  </si>
  <si>
    <t>2.1.2</t>
  </si>
  <si>
    <t>Lajes Maciças</t>
  </si>
  <si>
    <t xml:space="preserve">CAP III - REVESTIMENTO </t>
  </si>
  <si>
    <t>3.1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</si>
  <si>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</si>
  <si>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r>
      <t>m</t>
    </r>
    <r>
      <rPr>
        <vertAlign val="superscript"/>
        <sz val="10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</si>
  <si>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3.2</t>
  </si>
  <si>
    <t>Pintura  interior e exterior com duas demãos de tintas de água Contrato incluindo barração.</t>
  </si>
  <si>
    <t>3.3</t>
  </si>
  <si>
    <t>Pintura  Teto com duas demãos de tintas de água Contrato incluindo barração.</t>
  </si>
  <si>
    <t>CAP IV - ELETRICIDADE</t>
  </si>
  <si>
    <t>4.1</t>
  </si>
  <si>
    <t>Reposição e instalação de tubagens e fios em
lajes para pontos de iluminação e acesso a
rede, incluinto todos os trabalhos e acessórios complementares</t>
  </si>
  <si>
    <t>vg</t>
  </si>
  <si>
    <t>CAP V - REDE DE ESGOTO</t>
  </si>
  <si>
    <t>5.1</t>
  </si>
  <si>
    <t>Fornecimento e instalação de rede de esgotos , incluindo tubagens PVC, abertura e tapamento de roços, acessórios, ligações e todos os trabalhos acessórios necessários para o seu bom funcionamento.</t>
  </si>
  <si>
    <t>CAP VI - COZINHA</t>
  </si>
  <si>
    <t>6.1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</si>
  <si>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</si>
  <si>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TOTAL GERAL:</t>
  </si>
  <si>
    <t>FELISMINA MARTINS TAVARES</t>
  </si>
  <si>
    <t>1.2</t>
  </si>
  <si>
    <r>
      <t xml:space="preserve">Remoção de cobertura em </t>
    </r>
    <r>
      <rPr>
        <b/>
        <sz val="10"/>
        <rFont val="Times New Roman"/>
        <family val="1"/>
      </rPr>
      <t>chapa metálica</t>
    </r>
    <r>
      <rPr>
        <sz val="10"/>
        <rFont val="Times New Roman"/>
        <family val="1"/>
      </rPr>
      <t xml:space="preserve"> incluindo escoramento da estrutura existente, a remoção e transporte de entulho para o vazadouro municipal. </t>
    </r>
  </si>
  <si>
    <t xml:space="preserve">CAP III - ALVENARIA </t>
  </si>
  <si>
    <r>
      <t>Reestabelecimento do Pé-direito após demolição de elementos estruturais mediante a execução de alvenarias em blocos (20x</t>
    </r>
    <r>
      <rPr>
        <sz val="10"/>
        <rFont val="Calibri"/>
        <family val="2"/>
        <scheme val="minor"/>
      </rPr>
      <t>20x40 cm) de betão, assentes com argamassa de cimento e areia ao traço 1:4, incluindo todos os trabalhos e acessórios complementares.</t>
    </r>
  </si>
  <si>
    <t xml:space="preserve">CAP IV - REVESTIMENTO </t>
  </si>
  <si>
    <t>4.2</t>
  </si>
  <si>
    <t>4.3</t>
  </si>
  <si>
    <t>CAP V -INSTALAÇÃO SANITÁRIA (WC)</t>
  </si>
  <si>
    <t xml:space="preserve">Equipamentos Sanitários incluindo </t>
  </si>
  <si>
    <t>5.1.1</t>
  </si>
  <si>
    <t>Fornecimento e assentamento de lavatórios, incluindo torneiras, prever todos os acessórios de fixação, ligações a rede de água e esgoto, assim como o respectivo ensaio de modo a funcionar nas perfeitas condições.</t>
  </si>
  <si>
    <t>5.1.2</t>
  </si>
  <si>
    <t>Fornecimento e assentamento de sanita, incluindo autoclismo, prever todos os acessórios de fixação, ligações a rede de água e esgoto, assim como o respectivo ensaio de modo a funcionar nas perfeitas condições.</t>
  </si>
  <si>
    <t>5.1.3</t>
  </si>
  <si>
    <t>Fornecimento e assentamento de base de duche, prever todos os acessórios de fixação, ligações a rede de água e esgoto, assim como o respectivo ensaio de modo a funcionar nas perfeitas condições.</t>
  </si>
  <si>
    <t>CAP VI - REDE DE ESGOTO</t>
  </si>
  <si>
    <t>CAP VII - ELETRICIDADE</t>
  </si>
  <si>
    <t>7.1</t>
  </si>
  <si>
    <t xml:space="preserve">CAP VIII - REDE DE ÁGUA </t>
  </si>
  <si>
    <t>8.1</t>
  </si>
  <si>
    <t>Fornecimento e instalação de rede de água, incluindo os acessórios, ligações e todos os trabalhos acessórios necessários para o seu bom funcionamento.</t>
  </si>
  <si>
    <t>un.</t>
  </si>
  <si>
    <t>CAP IX - COZINHA</t>
  </si>
  <si>
    <t>9.1</t>
  </si>
  <si>
    <t>INDIRA ALMEIDA TAVARES</t>
  </si>
  <si>
    <t>AUDILIA LOPES DOS SANTOS</t>
  </si>
  <si>
    <r>
      <t>Demolição de</t>
    </r>
    <r>
      <rPr>
        <b/>
        <sz val="10"/>
        <rFont val="Times New Roman"/>
        <family val="1"/>
      </rPr>
      <t xml:space="preserve"> parede de bloco</t>
    </r>
    <r>
      <rPr>
        <sz val="10"/>
        <rFont val="Times New Roman"/>
        <family val="1"/>
      </rPr>
      <t xml:space="preserve"> existente, incluindo escoramento da estrutura existente, a remoção e transporte de entulho para o vazadouro municipal.</t>
    </r>
  </si>
  <si>
    <t>Execução de alvenarias em blocos (20x20x40 cm)  de betão, assentes com argamassa de cimento e areia ao traço 1:4, incluindo todos os trabalhos e acessórios complementares, com as dimensões:</t>
  </si>
  <si>
    <t>Pintura  faixada frontal e lateral com duas demãos de tintas de água Contrato incluindo barração.</t>
  </si>
  <si>
    <t>Fornecimento e execução de betonilha afagada, ao traço 1:3:5, com 5cm de espessura sobre os pavimentos de betão, incluindo todos os trabalhos complementares.</t>
  </si>
  <si>
    <t>CAP VI - ELETRICIDADE</t>
  </si>
  <si>
    <t xml:space="preserve">CAP VII - REDE DE ÁGUA </t>
  </si>
  <si>
    <t>vg.</t>
  </si>
  <si>
    <t>CAP VIII - REDE DE ESGOTO</t>
  </si>
  <si>
    <t>8.2</t>
  </si>
  <si>
    <t>Execução da fossa séptica em betão ciclópico, incluindo poço absorvente e tampa em betão armado incluindo todos os trabalhos acessórios e complementares.</t>
  </si>
  <si>
    <t>GENOVEVA LOPES VARELA</t>
  </si>
  <si>
    <t xml:space="preserve">CAP I - REVESTIMENTO </t>
  </si>
  <si>
    <t>1.3</t>
  </si>
  <si>
    <t>1.4</t>
  </si>
  <si>
    <t>CAP II -INSTALAÇÃO SANITÁRIA (WC)</t>
  </si>
  <si>
    <t>2.1.3</t>
  </si>
  <si>
    <t>CAP III - ELETRICIDADE</t>
  </si>
  <si>
    <t xml:space="preserve">CAP IV - REDE DE ÁGUA </t>
  </si>
  <si>
    <t>5.2</t>
  </si>
  <si>
    <t>ELIZANDRA GOMES CORREIA</t>
  </si>
  <si>
    <t>Pintura  faixada principal e lateral com duas demãos de tintas de água Contrato incluindo barração.</t>
  </si>
  <si>
    <t>4.4</t>
  </si>
  <si>
    <t>CECÍLIA LOPES TAVARES</t>
  </si>
  <si>
    <t>Data: JULHO DE 2023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</si>
  <si>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</si>
  <si>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</si>
  <si>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</si>
  <si>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</si>
  <si>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r>
      <t>Reestabelecimento do Pé-direito após demolição de elementos estruturais mediante a execução de alvenarias em blocos (20x</t>
    </r>
    <r>
      <rPr>
        <b/>
        <sz val="10"/>
        <rFont val="Calibri"/>
        <family val="2"/>
        <scheme val="minor"/>
      </rPr>
      <t>20</t>
    </r>
    <r>
      <rPr>
        <sz val="10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</si>
  <si>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CAP V - ELETRICIDADE</t>
  </si>
  <si>
    <t>Reposição e instalação de tubagens e fios em
lajes para pontos de iluminação e acesso a
rede, incluindo todos os trabalhos e acessórios complementares</t>
  </si>
  <si>
    <t>CAP VI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</si>
  <si>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</si>
  <si>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un</t>
  </si>
  <si>
    <t>CAP VII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</si>
  <si>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</si>
  <si>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VIII - COZINHA</t>
  </si>
  <si>
    <t>CAP IX - ENVOLVENTE</t>
  </si>
  <si>
    <t>Pavimento em betonilha. A ser aplicado na extensão das fachadas adjacentes á via pública com àrea equivalente a 1,5 metros vezes o comprimento da fachada.</t>
  </si>
  <si>
    <t>9.2</t>
  </si>
  <si>
    <t>Fornecimento e plantação de árvore menor de 14 cm de perímetro de tronco a 1 m do solo, com meios manuais, em terreno arenoso, em cova de 60x60x60 cm.</t>
  </si>
  <si>
    <t>AUGUSTA GARCIA MORENO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</si>
  <si>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</si>
  <si>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CAP II - TERRAPLENAGEM / ESCAVAÇÃO</t>
  </si>
  <si>
    <t>Escavação de terreno de qualquer natureza para execução de fundação 0.80 de largura, incluindo remoção e transporte de material sobrante</t>
  </si>
  <si>
    <t>-</t>
  </si>
  <si>
    <t>CAP III - ESTRUTURAS DE BETÃO</t>
  </si>
  <si>
    <t>Fornecimento e colocação de Betão de limpeza, incluindo todos os trabalhos e meios necessários para a sua boa execução.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</si>
  <si>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</si>
  <si>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</si>
  <si>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</si>
  <si>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</si>
  <si>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</si>
  <si>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</si>
  <si>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</si>
  <si>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 xml:space="preserve">CAP V - REVESTIMENTO </t>
  </si>
  <si>
    <t>5.3</t>
  </si>
  <si>
    <t>CAP VI - INSTALAÇÃO SANITÁRIA (WC)</t>
  </si>
  <si>
    <t>Revestimentos</t>
  </si>
  <si>
    <t>6.1.1</t>
  </si>
  <si>
    <t>Execução de reboco sobre paredes interiores em blocos de betão, acabamento areado fino, prever reconstituição das ombreiras dos vãos remates e alhetas de separação com outros revestimentos.</t>
  </si>
  <si>
    <t>6.2</t>
  </si>
  <si>
    <t>6.2.1</t>
  </si>
  <si>
    <t xml:space="preserve">un </t>
  </si>
  <si>
    <t>6.2.2</t>
  </si>
  <si>
    <t>6.2.3</t>
  </si>
  <si>
    <t>Fornecimento e assentamento de base de duche de pavimento, prever todos os acessórios de fixação, ligações a rede de água e esgoto, assim como o respectivo ensaio de modo a funcionar nas perfeitas condições.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</si>
  <si>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</si>
  <si>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Sanita,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</si>
  <si>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t>CAP IX - REDE DE ESGOTO</t>
  </si>
  <si>
    <r>
      <t>Fornecimento e instalação de rede de esgoto para</t>
    </r>
    <r>
      <rPr>
        <b/>
        <sz val="10"/>
        <rFont val="Calibri"/>
        <family val="2"/>
        <scheme val="minor"/>
      </rPr>
      <t xml:space="preserve"> Lavatório,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</si>
  <si>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</si>
  <si>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9.3</t>
  </si>
  <si>
    <t>CAP X - COZINHA</t>
  </si>
  <si>
    <t>10.1</t>
  </si>
  <si>
    <t xml:space="preserve">CAP XI - CAIXILHARIA (Reabilitação) </t>
  </si>
  <si>
    <t>11.1</t>
  </si>
  <si>
    <t>Reparação de caixilharia exterior de madeira, através da correção de desenquadramentos e substituição de ferragens deterioradas. Incluindo reposição de revestimentos e pinturas.</t>
  </si>
  <si>
    <t>CAP XII - CARPINTARIA</t>
  </si>
  <si>
    <t>12.1</t>
  </si>
  <si>
    <t>Fornecimento e colocação de Porta (0.7*2.0),  todos os trabalhos acessórios e complementares.</t>
  </si>
  <si>
    <t>CAP XIII - ENVOLVENTE</t>
  </si>
  <si>
    <t>13.1</t>
  </si>
  <si>
    <t>13.2</t>
  </si>
  <si>
    <t>RAQUEL FORTES MONTEIRO</t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</si>
  <si>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</si>
  <si>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Fornecimento e colocação de betão de limpeza, incluindo todos os trabalhos e meios necessários para a sua boa execução.</t>
  </si>
  <si>
    <t>3.1.1</t>
  </si>
  <si>
    <t>3.1.2</t>
  </si>
  <si>
    <t>3.1.3</t>
  </si>
  <si>
    <t>3.1.4</t>
  </si>
  <si>
    <t>Execução de alvenarias em blocos (20x20x40 cm)  de betão, assentes com argamassa de cimento e areia ao traço 1:4, incluindo todos os trabalhos e acessórios complementares, com as dimensões</t>
  </si>
  <si>
    <t>Pintura exterior (FACHADA FRONTAL) com duas demãos de tintas de água Contrato incluindo barração.</t>
  </si>
  <si>
    <t>CAP VI -INSTALAÇÃO SANITÁRIA (WC)</t>
  </si>
  <si>
    <t>Betonilha de regularização com argamassa de cimento e areia com 0,03m de espessura,incluindo todos os trabalhos complementares.</t>
  </si>
  <si>
    <t>CAP VII -  ELETRICIDADE</t>
  </si>
  <si>
    <t>Reposição e instalação de tubagens e fios em
lajes para pontos de iluminação e acesso a
rede, incluinto todos os trabalhos e acessórios complementares.</t>
  </si>
  <si>
    <t>CAP VIII -  REDE DE ÁGUA</t>
  </si>
  <si>
    <t>Fornecimento e instalação de rede de água, incluindo os acessórios, ligações e todos os trabalhos acessórios necessários para um bom funcionamento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</si>
  <si>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</si>
  <si>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Fornecimento de bancada de cozinha (executada com tampa betão á vista e laterais em parede de 10 cm de espessura), lava loiças (1 cuba), incluindo os seus acessórios, conforme o projeto de arquitetura.</t>
  </si>
  <si>
    <t>Reparação de caixilharia exterior metálica, através da correção de desenquadramentos e substituição de ferragens deterioradas. Incluindo reposição de revestimentos e pinturas.</t>
  </si>
  <si>
    <t>CAP XI - CARPINTARIA</t>
  </si>
  <si>
    <t>Fornecimento e colocação de Porta (0.8*2.0),  todos os trabalhos acessórios e complementares.</t>
  </si>
  <si>
    <t>12.2</t>
  </si>
  <si>
    <t>Fornecimento e colocação de janela (0,6*0,6),  todos os trabalhos acessórios e complementares.</t>
  </si>
  <si>
    <t>OSTELINDA DUARTE LOPES</t>
  </si>
  <si>
    <t xml:space="preserve">CAP III -  REVESTIMENTO </t>
  </si>
  <si>
    <t>CAP IV - INSTALAÇÃO SANITÁRIA (WC)</t>
  </si>
  <si>
    <t>4.1.1</t>
  </si>
  <si>
    <t>4.2.1</t>
  </si>
  <si>
    <t>Fornecimento e instalação de autoclismo e tampa para sanita, prever todos os acessórios de fixação, ligações a rede de água, assim como o respectivo ensaio de modo a funcionar nas perfeitas condições.</t>
  </si>
  <si>
    <t>4.1.2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</si>
  <si>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autoclismo, base de duche e lava loiças</t>
    </r>
    <r>
      <rPr>
        <sz val="10"/>
        <rFont val="Calibri"/>
        <family val="2"/>
        <scheme val="minor"/>
      </rPr>
      <t xml:space="preserve"> incluindo os acessórios, ligações e todos os trabalhos acessórios necessários para um bom funcionamento </t>
    </r>
  </si>
  <si>
    <t>CAP VII - COZINHA</t>
  </si>
  <si>
    <t xml:space="preserve">CAP VIII - CAIXILHARIA (Reabilitação) </t>
  </si>
  <si>
    <t xml:space="preserve">ALEIDA MORRENO BARROS </t>
  </si>
  <si>
    <r>
      <t xml:space="preserve">Demolição da </t>
    </r>
    <r>
      <rPr>
        <b/>
        <sz val="10"/>
        <rFont val="Calibri"/>
        <family val="2"/>
        <scheme val="minor"/>
      </rPr>
      <t>laje em 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</si>
  <si>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 xml:space="preserve">Remoção de cobertura em </t>
    </r>
    <r>
      <rPr>
        <b/>
        <sz val="10"/>
        <rFont val="Calibri"/>
        <family val="2"/>
        <scheme val="minor"/>
      </rPr>
      <t>material precaria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</si>
  <si>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Reestabelecimento do Pé-direito após demolição de elementos estruturais mediante a execução de alvenarias em blocos (20x15x40 cm) de betão, assentes com argamassa de cimento e areia ao traço 1:4, incluindo todos os trabalhos e acessórios complementares.</t>
  </si>
  <si>
    <t>Fornecimento e execução de betonilha afagada, ao traço 1:3:5, com 5cm de espessura sobre os pavimentos de betão e todos os trabalhos complementares.</t>
  </si>
  <si>
    <t>Pintura exterior (fachada frontal) com duas demãos de tintas de água Contrato incluindo barração.</t>
  </si>
  <si>
    <t>Execução de reboco sobre paredes interiores e exteriores em blocos de betão, acabamento areado fino, prever reconstituição das ombreiras dos vãos remates e alhetas de separação com outros revestimentos.</t>
  </si>
  <si>
    <t>6.1.2</t>
  </si>
  <si>
    <t>Execução da fossa séptica (incluindo Poço Absorvente) em betão ciclópico e tampa em betão armado incluindo todos os trabalhos acessórios e complementares.</t>
  </si>
  <si>
    <t xml:space="preserve">CAP IX - CAIXILHARIA (Reabilitação) </t>
  </si>
  <si>
    <t>CAP XI - ENVOLVENTE</t>
  </si>
  <si>
    <t>m2</t>
  </si>
  <si>
    <t>11.2</t>
  </si>
  <si>
    <t>ISA MARIA TAVARES SEMEDO</t>
  </si>
  <si>
    <t>Data: JULHO 2023</t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</si>
  <si>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</si>
  <si>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t>Fornecimento de autoclismo, prever todos os acessórios de fixação, ligações a rede de água, assim como o respectivo ensaio de modo a funcionar nas perfeitas condições.</t>
  </si>
  <si>
    <t xml:space="preserve">CAP VI - CAIXILHARIA (Reabilitação) </t>
  </si>
  <si>
    <t>MAPA RESUMO</t>
  </si>
  <si>
    <t>NOMES</t>
  </si>
  <si>
    <t xml:space="preserve">Valor </t>
  </si>
  <si>
    <t>LOTE 9 - BAIRRO PENSAMENTO - 12 CASAS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</si>
</sst>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8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DDDDD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" fontId="5" fillId="0" borderId="10" xfId="1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4" fontId="5" fillId="0" borderId="13" xfId="1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/>
    <xf numFmtId="49" fontId="5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4" xfId="0" applyFont="1" applyBorder="1"/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1" xfId="0" applyFont="1" applyBorder="1"/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49" fontId="2" fillId="0" borderId="1" xfId="0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0" fontId="5" fillId="0" borderId="18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8" fillId="0" borderId="0" xfId="0" applyFont="1"/>
    <xf numFmtId="164" fontId="0" fillId="0" borderId="0" xfId="0" applyNumberFormat="1"/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" fontId="2" fillId="4" borderId="31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/>
    </xf>
    <xf numFmtId="4" fontId="2" fillId="4" borderId="37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4" fontId="5" fillId="0" borderId="33" xfId="1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38" xfId="0" applyFont="1" applyBorder="1"/>
    <xf numFmtId="0" fontId="7" fillId="0" borderId="39" xfId="0" applyFont="1" applyBorder="1"/>
    <xf numFmtId="164" fontId="5" fillId="0" borderId="39" xfId="0" applyNumberFormat="1" applyFont="1" applyBorder="1" applyAlignment="1">
      <alignment horizontal="center" vertical="center"/>
    </xf>
    <xf numFmtId="0" fontId="5" fillId="0" borderId="40" xfId="0" applyFont="1" applyBorder="1"/>
    <xf numFmtId="49" fontId="5" fillId="0" borderId="39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4" fontId="5" fillId="0" borderId="39" xfId="1" applyNumberFormat="1" applyFont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9" xfId="0" applyFont="1" applyBorder="1"/>
    <xf numFmtId="49" fontId="5" fillId="0" borderId="32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/>
    </xf>
    <xf numFmtId="49" fontId="5" fillId="0" borderId="55" xfId="1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49" fontId="5" fillId="0" borderId="55" xfId="0" applyNumberFormat="1" applyFont="1" applyBorder="1" applyAlignment="1">
      <alignment horizontal="center" vertical="center"/>
    </xf>
    <xf numFmtId="0" fontId="5" fillId="0" borderId="57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4" fillId="0" borderId="0" xfId="0" applyNumberFormat="1" applyFont="1"/>
    <xf numFmtId="0" fontId="2" fillId="3" borderId="2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" fontId="5" fillId="0" borderId="16" xfId="1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left" vertical="center" wrapText="1"/>
    </xf>
    <xf numFmtId="49" fontId="5" fillId="0" borderId="55" xfId="1" applyNumberFormat="1" applyFont="1" applyBorder="1" applyAlignment="1">
      <alignment vertical="center"/>
    </xf>
    <xf numFmtId="49" fontId="5" fillId="0" borderId="56" xfId="1" applyNumberFormat="1" applyFont="1" applyBorder="1" applyAlignment="1">
      <alignment vertical="center"/>
    </xf>
    <xf numFmtId="164" fontId="5" fillId="0" borderId="56" xfId="1" applyNumberFormat="1" applyFont="1" applyBorder="1" applyAlignment="1">
      <alignment vertical="center"/>
    </xf>
    <xf numFmtId="49" fontId="5" fillId="0" borderId="57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5" fillId="0" borderId="56" xfId="0" applyNumberFormat="1" applyFont="1" applyBorder="1" applyAlignment="1">
      <alignment horizontal="left" vertical="center" wrapText="1"/>
    </xf>
    <xf numFmtId="4" fontId="5" fillId="0" borderId="56" xfId="1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4" fontId="5" fillId="0" borderId="25" xfId="0" applyNumberFormat="1" applyFont="1" applyBorder="1" applyAlignment="1">
      <alignment horizontal="center" vertical="center"/>
    </xf>
    <xf numFmtId="4" fontId="5" fillId="0" borderId="25" xfId="1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/>
    <xf numFmtId="49" fontId="5" fillId="5" borderId="35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0" borderId="10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49" fontId="5" fillId="0" borderId="24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/>
    <xf numFmtId="4" fontId="2" fillId="4" borderId="3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33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0" fontId="15" fillId="0" borderId="0" xfId="0" applyFont="1"/>
    <xf numFmtId="164" fontId="15" fillId="0" borderId="0" xfId="0" applyNumberFormat="1" applyFont="1" applyAlignment="1">
      <alignment vertical="center"/>
    </xf>
    <xf numFmtId="164" fontId="15" fillId="0" borderId="0" xfId="0" applyNumberFormat="1" applyFont="1"/>
    <xf numFmtId="164" fontId="15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 vertical="center"/>
    </xf>
    <xf numFmtId="4" fontId="15" fillId="4" borderId="31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64" fontId="15" fillId="0" borderId="4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3" xfId="1" applyNumberFormat="1" applyFont="1" applyBorder="1" applyAlignment="1">
      <alignment vertical="center"/>
    </xf>
    <xf numFmtId="49" fontId="16" fillId="0" borderId="4" xfId="1" applyNumberFormat="1" applyFont="1" applyBorder="1" applyAlignment="1">
      <alignment vertical="center"/>
    </xf>
    <xf numFmtId="164" fontId="16" fillId="0" borderId="4" xfId="1" applyNumberFormat="1" applyFont="1" applyBorder="1" applyAlignment="1">
      <alignment vertical="center"/>
    </xf>
    <xf numFmtId="49" fontId="16" fillId="0" borderId="5" xfId="1" applyNumberFormat="1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horizontal="center" vertical="center"/>
    </xf>
    <xf numFmtId="0" fontId="16" fillId="0" borderId="5" xfId="0" applyFont="1" applyBorder="1"/>
    <xf numFmtId="49" fontId="15" fillId="0" borderId="4" xfId="1" applyNumberFormat="1" applyFont="1" applyBorder="1" applyAlignment="1">
      <alignment vertical="center"/>
    </xf>
    <xf numFmtId="164" fontId="15" fillId="0" borderId="4" xfId="1" applyNumberFormat="1" applyFont="1" applyBorder="1" applyAlignment="1">
      <alignment vertical="center"/>
    </xf>
    <xf numFmtId="49" fontId="15" fillId="0" borderId="5" xfId="1" applyNumberFormat="1" applyFont="1" applyBorder="1" applyAlignment="1">
      <alignment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35" xfId="0" applyNumberFormat="1" applyFont="1" applyBorder="1" applyAlignment="1">
      <alignment horizontal="left" vertical="center" wrapText="1"/>
    </xf>
    <xf numFmtId="49" fontId="16" fillId="0" borderId="32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" fontId="16" fillId="0" borderId="16" xfId="1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0" borderId="19" xfId="0" applyFont="1" applyBorder="1"/>
    <xf numFmtId="0" fontId="16" fillId="0" borderId="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vertical="center"/>
    </xf>
    <xf numFmtId="49" fontId="15" fillId="2" borderId="41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 vertical="center"/>
    </xf>
    <xf numFmtId="4" fontId="2" fillId="7" borderId="31" xfId="0" applyNumberFormat="1" applyFont="1" applyFill="1" applyBorder="1" applyAlignment="1">
      <alignment horizontal="center" vertical="center"/>
    </xf>
    <xf numFmtId="164" fontId="2" fillId="7" borderId="37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" fontId="2" fillId="3" borderId="31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49" fontId="2" fillId="3" borderId="41" xfId="0" applyNumberFormat="1" applyFont="1" applyFill="1" applyBorder="1" applyAlignment="1">
      <alignment horizontal="center" vertical="center"/>
    </xf>
    <xf numFmtId="49" fontId="2" fillId="3" borderId="4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58" xfId="0" applyNumberFormat="1" applyFont="1" applyBorder="1" applyAlignment="1">
      <alignment horizontal="center" vertical="center"/>
    </xf>
    <xf numFmtId="4" fontId="2" fillId="0" borderId="62" xfId="0" applyNumberFormat="1" applyFont="1" applyBorder="1" applyAlignment="1">
      <alignment horizontal="center" vertical="center"/>
    </xf>
    <xf numFmtId="4" fontId="2" fillId="0" borderId="59" xfId="0" applyNumberFormat="1" applyFont="1" applyBorder="1" applyAlignment="1">
      <alignment horizontal="center" vertical="center"/>
    </xf>
    <xf numFmtId="4" fontId="2" fillId="0" borderId="60" xfId="0" applyNumberFormat="1" applyFont="1" applyBorder="1" applyAlignment="1">
      <alignment horizontal="center" vertical="center"/>
    </xf>
    <xf numFmtId="4" fontId="2" fillId="0" borderId="61" xfId="0" applyNumberFormat="1" applyFont="1" applyBorder="1" applyAlignment="1">
      <alignment horizontal="center" vertical="center"/>
    </xf>
    <xf numFmtId="4" fontId="2" fillId="0" borderId="58" xfId="0" applyNumberFormat="1" applyFont="1" applyBorder="1" applyAlignment="1">
      <alignment horizontal="left" vertical="center"/>
    </xf>
    <xf numFmtId="4" fontId="2" fillId="0" borderId="62" xfId="0" applyNumberFormat="1" applyFont="1" applyBorder="1" applyAlignment="1">
      <alignment horizontal="left" vertical="center"/>
    </xf>
    <xf numFmtId="4" fontId="2" fillId="0" borderId="59" xfId="0" applyNumberFormat="1" applyFont="1" applyBorder="1" applyAlignment="1">
      <alignment horizontal="left" vertical="center"/>
    </xf>
    <xf numFmtId="0" fontId="2" fillId="0" borderId="58" xfId="1" applyFont="1" applyBorder="1" applyAlignment="1">
      <alignment horizontal="left" vertical="center" wrapText="1"/>
    </xf>
    <xf numFmtId="0" fontId="2" fillId="0" borderId="62" xfId="1" applyFont="1" applyBorder="1" applyAlignment="1">
      <alignment horizontal="left" vertical="center" wrapText="1"/>
    </xf>
    <xf numFmtId="0" fontId="2" fillId="0" borderId="59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3" borderId="28" xfId="1" applyFont="1" applyFill="1" applyBorder="1" applyAlignment="1">
      <alignment horizontal="left" vertical="center" wrapText="1"/>
    </xf>
    <xf numFmtId="0" fontId="2" fillId="3" borderId="29" xfId="1" applyFont="1" applyFill="1" applyBorder="1" applyAlignment="1">
      <alignment horizontal="left" vertical="center" wrapText="1"/>
    </xf>
    <xf numFmtId="0" fontId="2" fillId="3" borderId="30" xfId="1" applyFont="1" applyFill="1" applyBorder="1" applyAlignment="1">
      <alignment horizontal="left" vertical="center" wrapText="1"/>
    </xf>
    <xf numFmtId="4" fontId="2" fillId="2" borderId="42" xfId="0" applyNumberFormat="1" applyFont="1" applyFill="1" applyBorder="1" applyAlignment="1">
      <alignment horizontal="center" vertical="center"/>
    </xf>
    <xf numFmtId="4" fontId="2" fillId="2" borderId="43" xfId="0" applyNumberFormat="1" applyFont="1" applyFill="1" applyBorder="1" applyAlignment="1">
      <alignment horizontal="center" vertical="center"/>
    </xf>
    <xf numFmtId="4" fontId="2" fillId="2" borderId="44" xfId="0" applyNumberFormat="1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48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36" xfId="1" applyFont="1" applyFill="1" applyBorder="1" applyAlignment="1">
      <alignment horizontal="left" vertical="center" wrapText="1"/>
    </xf>
    <xf numFmtId="0" fontId="2" fillId="3" borderId="51" xfId="1" applyFont="1" applyFill="1" applyBorder="1" applyAlignment="1">
      <alignment horizontal="left" vertical="center" wrapText="1"/>
    </xf>
    <xf numFmtId="0" fontId="2" fillId="3" borderId="52" xfId="1" applyFont="1" applyFill="1" applyBorder="1" applyAlignment="1">
      <alignment horizontal="left" vertical="center" wrapText="1"/>
    </xf>
    <xf numFmtId="0" fontId="2" fillId="3" borderId="53" xfId="1" applyFont="1" applyFill="1" applyBorder="1" applyAlignment="1">
      <alignment horizontal="left" vertical="center" wrapText="1"/>
    </xf>
    <xf numFmtId="0" fontId="15" fillId="3" borderId="28" xfId="1" applyFont="1" applyFill="1" applyBorder="1" applyAlignment="1">
      <alignment horizontal="left" vertical="center" wrapText="1"/>
    </xf>
    <xf numFmtId="0" fontId="15" fillId="3" borderId="29" xfId="1" applyFont="1" applyFill="1" applyBorder="1" applyAlignment="1">
      <alignment horizontal="left" vertical="center" wrapText="1"/>
    </xf>
    <xf numFmtId="0" fontId="15" fillId="3" borderId="30" xfId="1" applyFont="1" applyFill="1" applyBorder="1" applyAlignment="1">
      <alignment horizontal="left" vertical="center" wrapText="1"/>
    </xf>
    <xf numFmtId="4" fontId="15" fillId="2" borderId="42" xfId="0" applyNumberFormat="1" applyFont="1" applyFill="1" applyBorder="1" applyAlignment="1">
      <alignment horizontal="center" vertical="center"/>
    </xf>
    <xf numFmtId="4" fontId="15" fillId="2" borderId="43" xfId="0" applyNumberFormat="1" applyFont="1" applyFill="1" applyBorder="1" applyAlignment="1">
      <alignment horizontal="center" vertical="center"/>
    </xf>
    <xf numFmtId="4" fontId="15" fillId="2" borderId="44" xfId="0" applyNumberFormat="1" applyFont="1" applyFill="1" applyBorder="1" applyAlignment="1">
      <alignment horizontal="center" vertical="center"/>
    </xf>
    <xf numFmtId="3" fontId="15" fillId="2" borderId="45" xfId="0" applyNumberFormat="1" applyFont="1" applyFill="1" applyBorder="1" applyAlignment="1">
      <alignment horizontal="center" vertical="center"/>
    </xf>
    <xf numFmtId="3" fontId="15" fillId="2" borderId="49" xfId="0" applyNumberFormat="1" applyFont="1" applyFill="1" applyBorder="1" applyAlignment="1">
      <alignment horizontal="center" vertical="center"/>
    </xf>
    <xf numFmtId="4" fontId="15" fillId="2" borderId="47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4" fontId="15" fillId="2" borderId="48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4" fontId="15" fillId="2" borderId="20" xfId="0" applyNumberFormat="1" applyFont="1" applyFill="1" applyBorder="1" applyAlignment="1">
      <alignment horizontal="center" vertical="center"/>
    </xf>
    <xf numFmtId="4" fontId="15" fillId="2" borderId="23" xfId="0" applyNumberFormat="1" applyFont="1" applyFill="1" applyBorder="1" applyAlignment="1">
      <alignment horizontal="center" vertical="center"/>
    </xf>
    <xf numFmtId="164" fontId="15" fillId="2" borderId="20" xfId="0" applyNumberFormat="1" applyFont="1" applyFill="1" applyBorder="1" applyAlignment="1">
      <alignment horizontal="center" vertical="center" wrapText="1"/>
    </xf>
    <xf numFmtId="164" fontId="15" fillId="2" borderId="23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" fontId="15" fillId="2" borderId="63" xfId="0" applyNumberFormat="1" applyFont="1" applyFill="1" applyBorder="1" applyAlignment="1">
      <alignment horizontal="center" vertical="center"/>
    </xf>
    <xf numFmtId="4" fontId="15" fillId="2" borderId="64" xfId="0" applyNumberFormat="1" applyFont="1" applyFill="1" applyBorder="1" applyAlignment="1">
      <alignment horizontal="center" vertical="center"/>
    </xf>
    <xf numFmtId="4" fontId="15" fillId="2" borderId="65" xfId="0" applyNumberFormat="1" applyFont="1" applyFill="1" applyBorder="1" applyAlignment="1">
      <alignment horizontal="center" vertical="center"/>
    </xf>
    <xf numFmtId="4" fontId="15" fillId="2" borderId="66" xfId="0" applyNumberFormat="1" applyFont="1" applyFill="1" applyBorder="1" applyAlignment="1">
      <alignment horizontal="center" vertical="center"/>
    </xf>
    <xf numFmtId="4" fontId="15" fillId="2" borderId="67" xfId="0" applyNumberFormat="1" applyFont="1" applyFill="1" applyBorder="1" applyAlignment="1">
      <alignment horizontal="center" vertical="center"/>
    </xf>
    <xf numFmtId="4" fontId="15" fillId="2" borderId="68" xfId="0" applyNumberFormat="1" applyFont="1" applyFill="1" applyBorder="1" applyAlignment="1">
      <alignment horizontal="center" vertical="center"/>
    </xf>
    <xf numFmtId="0" fontId="2" fillId="7" borderId="28" xfId="1" applyFont="1" applyFill="1" applyBorder="1" applyAlignment="1">
      <alignment horizontal="left" vertical="center" wrapText="1"/>
    </xf>
    <xf numFmtId="0" fontId="2" fillId="7" borderId="29" xfId="1" applyFont="1" applyFill="1" applyBorder="1" applyAlignment="1">
      <alignment horizontal="left" vertical="center" wrapText="1"/>
    </xf>
    <xf numFmtId="0" fontId="2" fillId="7" borderId="30" xfId="1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4" fontId="2" fillId="6" borderId="20" xfId="0" applyNumberFormat="1" applyFont="1" applyFill="1" applyBorder="1" applyAlignment="1">
      <alignment horizontal="center" vertical="center"/>
    </xf>
    <xf numFmtId="4" fontId="2" fillId="6" borderId="23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 wrapText="1"/>
    </xf>
    <xf numFmtId="164" fontId="2" fillId="6" borderId="23" xfId="0" applyNumberFormat="1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7" borderId="51" xfId="1" applyFont="1" applyFill="1" applyBorder="1" applyAlignment="1">
      <alignment horizontal="left" vertical="center" wrapText="1"/>
    </xf>
    <xf numFmtId="0" fontId="2" fillId="7" borderId="52" xfId="1" applyFont="1" applyFill="1" applyBorder="1" applyAlignment="1">
      <alignment horizontal="left" vertical="center" wrapText="1"/>
    </xf>
    <xf numFmtId="0" fontId="2" fillId="7" borderId="53" xfId="1" applyFont="1" applyFill="1" applyBorder="1" applyAlignment="1">
      <alignment horizontal="left" vertical="center" wrapText="1"/>
    </xf>
    <xf numFmtId="0" fontId="2" fillId="7" borderId="36" xfId="1" applyFont="1" applyFill="1" applyBorder="1" applyAlignment="1">
      <alignment horizontal="left" vertical="center" wrapText="1"/>
    </xf>
    <xf numFmtId="4" fontId="2" fillId="3" borderId="42" xfId="0" applyNumberFormat="1" applyFont="1" applyFill="1" applyBorder="1" applyAlignment="1">
      <alignment horizontal="center" vertical="center"/>
    </xf>
    <xf numFmtId="4" fontId="2" fillId="3" borderId="43" xfId="0" applyNumberFormat="1" applyFont="1" applyFill="1" applyBorder="1" applyAlignment="1">
      <alignment horizontal="center" vertical="center"/>
    </xf>
    <xf numFmtId="4" fontId="2" fillId="3" borderId="44" xfId="0" applyNumberFormat="1" applyFont="1" applyFill="1" applyBorder="1" applyAlignment="1">
      <alignment horizontal="center" vertical="center"/>
    </xf>
    <xf numFmtId="4" fontId="2" fillId="3" borderId="45" xfId="0" applyNumberFormat="1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4" fontId="2" fillId="3" borderId="47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48" xfId="0" applyNumberFormat="1" applyFont="1" applyFill="1" applyBorder="1" applyAlignment="1">
      <alignment horizontal="center" vertical="center"/>
    </xf>
    <xf numFmtId="4" fontId="15" fillId="2" borderId="45" xfId="0" applyNumberFormat="1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49" fontId="15" fillId="2" borderId="69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2" fillId="3" borderId="70" xfId="0" applyFont="1" applyFill="1" applyBorder="1" applyAlignment="1">
      <alignment horizontal="center" vertical="center"/>
    </xf>
    <xf numFmtId="0" fontId="22" fillId="3" borderId="71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3" borderId="73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5" borderId="73" xfId="0" applyFont="1" applyFill="1" applyBorder="1" applyAlignment="1">
      <alignment horizontal="center" vertical="center"/>
    </xf>
    <xf numFmtId="0" fontId="22" fillId="5" borderId="36" xfId="1" applyFont="1" applyFill="1" applyBorder="1" applyAlignment="1">
      <alignment horizontal="left" vertical="center" wrapText="1"/>
    </xf>
    <xf numFmtId="4" fontId="22" fillId="8" borderId="74" xfId="0" applyNumberFormat="1" applyFont="1" applyFill="1" applyBorder="1" applyAlignment="1">
      <alignment horizontal="center" vertical="center"/>
    </xf>
    <xf numFmtId="0" fontId="22" fillId="5" borderId="73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74" xfId="0" applyFont="1" applyFill="1" applyBorder="1" applyAlignment="1">
      <alignment horizontal="center" vertical="center"/>
    </xf>
    <xf numFmtId="4" fontId="22" fillId="5" borderId="75" xfId="0" applyNumberFormat="1" applyFont="1" applyFill="1" applyBorder="1" applyAlignment="1">
      <alignment horizontal="left" vertical="center"/>
    </xf>
    <xf numFmtId="4" fontId="22" fillId="5" borderId="76" xfId="0" applyNumberFormat="1" applyFont="1" applyFill="1" applyBorder="1" applyAlignment="1">
      <alignment horizontal="left" vertical="center"/>
    </xf>
    <xf numFmtId="4" fontId="22" fillId="5" borderId="77" xfId="0" applyNumberFormat="1" applyFont="1" applyFill="1" applyBorder="1" applyAlignment="1">
      <alignment horizontal="center" vertical="center"/>
    </xf>
    <xf numFmtId="4" fontId="22" fillId="5" borderId="78" xfId="0" applyNumberFormat="1" applyFont="1" applyFill="1" applyBorder="1" applyAlignment="1">
      <alignment horizontal="left" vertical="center"/>
    </xf>
    <xf numFmtId="4" fontId="22" fillId="5" borderId="79" xfId="0" applyNumberFormat="1" applyFont="1" applyFill="1" applyBorder="1" applyAlignment="1">
      <alignment horizontal="left" vertical="center"/>
    </xf>
    <xf numFmtId="4" fontId="22" fillId="5" borderId="80" xfId="0" applyNumberFormat="1" applyFont="1" applyFill="1" applyBorder="1" applyAlignment="1">
      <alignment horizontal="center" vertical="center"/>
    </xf>
    <xf numFmtId="0" fontId="20" fillId="0" borderId="0" xfId="0" applyFont="1"/>
    <xf numFmtId="0" fontId="23" fillId="0" borderId="0" xfId="0" applyFont="1"/>
    <xf numFmtId="164" fontId="23" fillId="0" borderId="0" xfId="0" applyNumberFormat="1" applyFont="1"/>
    <xf numFmtId="0" fontId="20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0" applyNumberFormat="1" applyFont="1"/>
    <xf numFmtId="164" fontId="26" fillId="0" borderId="0" xfId="0" applyNumberFormat="1" applyFont="1" applyAlignment="1">
      <alignment horizontal="center"/>
    </xf>
    <xf numFmtId="164" fontId="26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164" fontId="29" fillId="0" borderId="0" xfId="0" applyNumberFormat="1" applyFont="1"/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E7" sqref="E7"/>
    </sheetView>
  </sheetViews>
  <sheetFormatPr defaultRowHeight="14.4" x14ac:dyDescent="0.3"/>
  <cols>
    <col min="1" max="1" width="35.44140625" bestFit="1" customWidth="1"/>
  </cols>
  <sheetData>
    <row r="1" spans="1:1" x14ac:dyDescent="0.3">
      <c r="A1" s="70" t="s">
        <v>0</v>
      </c>
    </row>
    <row r="2" spans="1:1" x14ac:dyDescent="0.3">
      <c r="A2" s="237" t="s">
        <v>1</v>
      </c>
    </row>
    <row r="3" spans="1:1" x14ac:dyDescent="0.3">
      <c r="A3" s="237" t="s">
        <v>2</v>
      </c>
    </row>
    <row r="4" spans="1:1" x14ac:dyDescent="0.3">
      <c r="A4" s="237" t="s">
        <v>3</v>
      </c>
    </row>
    <row r="5" spans="1:1" x14ac:dyDescent="0.3">
      <c r="A5" s="237" t="s">
        <v>4</v>
      </c>
    </row>
    <row r="6" spans="1:1" x14ac:dyDescent="0.3">
      <c r="A6" s="237" t="s">
        <v>5</v>
      </c>
    </row>
    <row r="7" spans="1:1" x14ac:dyDescent="0.3">
      <c r="A7" s="237" t="s">
        <v>12</v>
      </c>
    </row>
    <row r="8" spans="1:1" x14ac:dyDescent="0.3">
      <c r="A8" s="237" t="s">
        <v>11</v>
      </c>
    </row>
    <row r="9" spans="1:1" x14ac:dyDescent="0.3">
      <c r="A9" s="237" t="s">
        <v>10</v>
      </c>
    </row>
    <row r="10" spans="1:1" x14ac:dyDescent="0.3">
      <c r="A10" s="237" t="s">
        <v>9</v>
      </c>
    </row>
    <row r="11" spans="1:1" x14ac:dyDescent="0.3">
      <c r="A11" s="237" t="s">
        <v>8</v>
      </c>
    </row>
    <row r="12" spans="1:1" x14ac:dyDescent="0.3">
      <c r="A12" s="237" t="s">
        <v>7</v>
      </c>
    </row>
    <row r="13" spans="1:1" x14ac:dyDescent="0.3">
      <c r="A13" s="237" t="s">
        <v>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32" sqref="E32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6.554687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86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12" customHeight="1" x14ac:dyDescent="0.3">
      <c r="A9" s="302"/>
      <c r="B9" s="303"/>
      <c r="C9" s="303"/>
      <c r="D9" s="303"/>
      <c r="E9" s="303"/>
      <c r="F9" s="303"/>
      <c r="G9" s="304"/>
    </row>
    <row r="10" spans="1:7" x14ac:dyDescent="0.3">
      <c r="A10" s="189">
        <v>1</v>
      </c>
      <c r="B10" s="291" t="s">
        <v>31</v>
      </c>
      <c r="C10" s="292"/>
      <c r="D10" s="292"/>
      <c r="E10" s="292"/>
      <c r="F10" s="293"/>
      <c r="G10" s="190">
        <f>+SUM(F12:F12)</f>
        <v>0</v>
      </c>
    </row>
    <row r="11" spans="1:7" ht="6.9" customHeight="1" x14ac:dyDescent="0.3">
      <c r="A11" s="191"/>
      <c r="B11" s="192"/>
      <c r="C11" s="192"/>
      <c r="D11" s="192"/>
      <c r="E11" s="193"/>
      <c r="F11" s="193"/>
      <c r="G11" s="194"/>
    </row>
    <row r="12" spans="1:7" ht="39.6" x14ac:dyDescent="0.3">
      <c r="A12" s="195" t="s">
        <v>32</v>
      </c>
      <c r="B12" s="196" t="s">
        <v>33</v>
      </c>
      <c r="C12" s="197" t="s">
        <v>34</v>
      </c>
      <c r="D12" s="198">
        <v>4.9000000000000004</v>
      </c>
      <c r="E12" s="199"/>
      <c r="F12" s="199">
        <f>+D12*E12</f>
        <v>0</v>
      </c>
      <c r="G12" s="200"/>
    </row>
    <row r="13" spans="1:7" ht="6.9" customHeight="1" x14ac:dyDescent="0.3">
      <c r="A13" s="201"/>
      <c r="B13" s="202"/>
      <c r="C13" s="202"/>
      <c r="D13" s="202"/>
      <c r="E13" s="203"/>
      <c r="F13" s="199"/>
      <c r="G13" s="204"/>
    </row>
    <row r="14" spans="1:7" x14ac:dyDescent="0.3">
      <c r="A14" s="189">
        <v>2</v>
      </c>
      <c r="B14" s="291" t="s">
        <v>35</v>
      </c>
      <c r="C14" s="292"/>
      <c r="D14" s="292"/>
      <c r="E14" s="292"/>
      <c r="F14" s="293"/>
      <c r="G14" s="190">
        <f>SUM(F17:F18)</f>
        <v>0</v>
      </c>
    </row>
    <row r="15" spans="1:7" x14ac:dyDescent="0.3">
      <c r="A15" s="191"/>
      <c r="B15" s="192"/>
      <c r="C15" s="192"/>
      <c r="D15" s="192"/>
      <c r="E15" s="193"/>
      <c r="F15" s="193"/>
      <c r="G15" s="194"/>
    </row>
    <row r="16" spans="1:7" ht="92.4" x14ac:dyDescent="0.3">
      <c r="A16" s="195" t="s">
        <v>36</v>
      </c>
      <c r="B16" s="205" t="s">
        <v>37</v>
      </c>
      <c r="C16" s="206"/>
      <c r="D16" s="198"/>
      <c r="E16" s="199"/>
      <c r="F16" s="199"/>
      <c r="G16" s="207"/>
    </row>
    <row r="17" spans="1:7" ht="15.6" x14ac:dyDescent="0.3">
      <c r="A17" s="195" t="s">
        <v>38</v>
      </c>
      <c r="B17" s="205" t="s">
        <v>39</v>
      </c>
      <c r="C17" s="197" t="s">
        <v>34</v>
      </c>
      <c r="D17" s="199">
        <f>0.2*0.4*6.19*2+0.2*0.4*4.1+0.2*0.4*3.7*2</f>
        <v>1.9104000000000005</v>
      </c>
      <c r="E17" s="199"/>
      <c r="F17" s="199">
        <f t="shared" ref="F17:F18" si="0">D17*E17</f>
        <v>0</v>
      </c>
      <c r="G17" s="207"/>
    </row>
    <row r="18" spans="1:7" ht="15.6" x14ac:dyDescent="0.3">
      <c r="A18" s="195" t="s">
        <v>40</v>
      </c>
      <c r="B18" s="205" t="s">
        <v>41</v>
      </c>
      <c r="C18" s="197" t="s">
        <v>34</v>
      </c>
      <c r="D18" s="198">
        <f>21.39*0.15</f>
        <v>3.2084999999999999</v>
      </c>
      <c r="E18" s="199"/>
      <c r="F18" s="199">
        <f t="shared" si="0"/>
        <v>0</v>
      </c>
      <c r="G18" s="207"/>
    </row>
    <row r="19" spans="1:7" ht="6.9" customHeight="1" x14ac:dyDescent="0.3">
      <c r="A19" s="201"/>
      <c r="B19" s="208"/>
      <c r="C19" s="208"/>
      <c r="D19" s="208"/>
      <c r="E19" s="209"/>
      <c r="F19" s="209"/>
      <c r="G19" s="210"/>
    </row>
    <row r="20" spans="1:7" x14ac:dyDescent="0.3">
      <c r="A20" s="189">
        <v>3</v>
      </c>
      <c r="B20" s="291" t="s">
        <v>42</v>
      </c>
      <c r="C20" s="292"/>
      <c r="D20" s="292"/>
      <c r="E20" s="292"/>
      <c r="F20" s="293"/>
      <c r="G20" s="190">
        <f>SUM(F22:F23)</f>
        <v>0</v>
      </c>
    </row>
    <row r="21" spans="1:7" x14ac:dyDescent="0.3">
      <c r="A21" s="211"/>
      <c r="B21" s="212"/>
      <c r="C21" s="197"/>
      <c r="D21" s="198"/>
      <c r="E21" s="199"/>
      <c r="F21" s="199"/>
      <c r="G21" s="207"/>
    </row>
    <row r="22" spans="1:7" ht="26.4" x14ac:dyDescent="0.3">
      <c r="A22" s="211" t="s">
        <v>43</v>
      </c>
      <c r="B22" s="213" t="s">
        <v>47</v>
      </c>
      <c r="C22" s="197" t="s">
        <v>45</v>
      </c>
      <c r="D22" s="198">
        <f>+(3.7+4.1+2.67+2.22+0.78+2.43+1.03)*3</f>
        <v>50.79</v>
      </c>
      <c r="E22" s="199"/>
      <c r="F22" s="199">
        <f>+D22*E22</f>
        <v>0</v>
      </c>
      <c r="G22" s="207"/>
    </row>
    <row r="23" spans="1:7" ht="26.4" x14ac:dyDescent="0.3">
      <c r="A23" s="211" t="s">
        <v>46</v>
      </c>
      <c r="B23" s="213" t="s">
        <v>49</v>
      </c>
      <c r="C23" s="197" t="s">
        <v>45</v>
      </c>
      <c r="D23" s="198">
        <v>21.39</v>
      </c>
      <c r="E23" s="199"/>
      <c r="F23" s="199">
        <f>+D23*E23</f>
        <v>0</v>
      </c>
      <c r="G23" s="207"/>
    </row>
    <row r="24" spans="1:7" ht="15" thickBot="1" x14ac:dyDescent="0.35">
      <c r="A24" s="211"/>
      <c r="B24" s="212"/>
      <c r="C24" s="197"/>
      <c r="D24" s="198"/>
      <c r="E24" s="199"/>
      <c r="F24" s="199"/>
      <c r="G24" s="207"/>
    </row>
    <row r="25" spans="1:7" x14ac:dyDescent="0.3">
      <c r="A25" s="224"/>
      <c r="B25" s="294"/>
      <c r="C25" s="295"/>
      <c r="D25" s="295"/>
      <c r="E25" s="295"/>
      <c r="F25" s="296"/>
      <c r="G25" s="297">
        <f>+SUM(G10:G24)</f>
        <v>0</v>
      </c>
    </row>
    <row r="26" spans="1:7" ht="15" thickBot="1" x14ac:dyDescent="0.35">
      <c r="A26" s="225"/>
      <c r="B26" s="299" t="s">
        <v>60</v>
      </c>
      <c r="C26" s="300"/>
      <c r="D26" s="300"/>
      <c r="E26" s="300"/>
      <c r="F26" s="301"/>
      <c r="G26" s="298"/>
    </row>
  </sheetData>
  <mergeCells count="15">
    <mergeCell ref="A9:G9"/>
    <mergeCell ref="B10:F10"/>
    <mergeCell ref="B14:F14"/>
    <mergeCell ref="B20:F20"/>
    <mergeCell ref="B25:F25"/>
    <mergeCell ref="G25:G26"/>
    <mergeCell ref="B26:F26"/>
    <mergeCell ref="F4:G4"/>
    <mergeCell ref="F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E59" sqref="E59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6.554687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87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12" customHeight="1" x14ac:dyDescent="0.3">
      <c r="A9" s="302"/>
      <c r="B9" s="303"/>
      <c r="C9" s="303"/>
      <c r="D9" s="303"/>
      <c r="E9" s="303"/>
      <c r="F9" s="303"/>
      <c r="G9" s="304"/>
    </row>
    <row r="10" spans="1:7" x14ac:dyDescent="0.3">
      <c r="A10" s="189">
        <v>1</v>
      </c>
      <c r="B10" s="291" t="s">
        <v>31</v>
      </c>
      <c r="C10" s="292"/>
      <c r="D10" s="292"/>
      <c r="E10" s="292"/>
      <c r="F10" s="293"/>
      <c r="G10" s="190">
        <f>+SUM(F12:F13)</f>
        <v>0</v>
      </c>
    </row>
    <row r="11" spans="1:7" ht="6.9" customHeight="1" x14ac:dyDescent="0.3">
      <c r="A11" s="191"/>
      <c r="B11" s="192"/>
      <c r="C11" s="192"/>
      <c r="D11" s="192"/>
      <c r="E11" s="193"/>
      <c r="F11" s="193"/>
      <c r="G11" s="194"/>
    </row>
    <row r="12" spans="1:7" ht="39.6" x14ac:dyDescent="0.3">
      <c r="A12" s="195" t="s">
        <v>32</v>
      </c>
      <c r="B12" s="196" t="s">
        <v>33</v>
      </c>
      <c r="C12" s="197" t="s">
        <v>34</v>
      </c>
      <c r="D12" s="198">
        <f>22*0.15</f>
        <v>3.3</v>
      </c>
      <c r="E12" s="199"/>
      <c r="F12" s="199">
        <f>+D12*E12</f>
        <v>0</v>
      </c>
      <c r="G12" s="200"/>
    </row>
    <row r="13" spans="1:7" ht="52.8" x14ac:dyDescent="0.3">
      <c r="A13" s="195" t="s">
        <v>62</v>
      </c>
      <c r="B13" s="196" t="s">
        <v>88</v>
      </c>
      <c r="C13" s="197" t="s">
        <v>45</v>
      </c>
      <c r="D13" s="198">
        <f>1*2.1</f>
        <v>2.1</v>
      </c>
      <c r="E13" s="199"/>
      <c r="F13" s="199">
        <f>D13*E13</f>
        <v>0</v>
      </c>
      <c r="G13" s="200"/>
    </row>
    <row r="14" spans="1:7" ht="6.9" customHeight="1" x14ac:dyDescent="0.3">
      <c r="A14" s="201"/>
      <c r="B14" s="202"/>
      <c r="C14" s="202"/>
      <c r="D14" s="202"/>
      <c r="E14" s="203"/>
      <c r="F14" s="199"/>
      <c r="G14" s="204"/>
    </row>
    <row r="15" spans="1:7" x14ac:dyDescent="0.3">
      <c r="A15" s="189">
        <v>2</v>
      </c>
      <c r="B15" s="291" t="s">
        <v>35</v>
      </c>
      <c r="C15" s="292"/>
      <c r="D15" s="292"/>
      <c r="E15" s="292"/>
      <c r="F15" s="293"/>
      <c r="G15" s="190">
        <f>SUM(F18:F19)</f>
        <v>0</v>
      </c>
    </row>
    <row r="16" spans="1:7" x14ac:dyDescent="0.3">
      <c r="A16" s="191"/>
      <c r="B16" s="192"/>
      <c r="C16" s="192"/>
      <c r="D16" s="192"/>
      <c r="E16" s="193"/>
      <c r="F16" s="193"/>
      <c r="G16" s="194"/>
    </row>
    <row r="17" spans="1:7" ht="92.4" x14ac:dyDescent="0.3">
      <c r="A17" s="195" t="s">
        <v>36</v>
      </c>
      <c r="B17" s="205" t="s">
        <v>37</v>
      </c>
      <c r="C17" s="206"/>
      <c r="D17" s="198"/>
      <c r="E17" s="199"/>
      <c r="F17" s="199"/>
      <c r="G17" s="207"/>
    </row>
    <row r="18" spans="1:7" ht="15.6" x14ac:dyDescent="0.3">
      <c r="A18" s="195" t="s">
        <v>38</v>
      </c>
      <c r="B18" s="205" t="s">
        <v>39</v>
      </c>
      <c r="C18" s="197" t="s">
        <v>34</v>
      </c>
      <c r="D18" s="198">
        <f>0.2*0.4*6.58*2+0.2*0.4*5.26*3+0.2*0.4*6.42*2+0.2*0.4*3.47</f>
        <v>3.6200000000000006</v>
      </c>
      <c r="E18" s="199"/>
      <c r="F18" s="199">
        <f t="shared" ref="F18:F19" si="0">D18*E18</f>
        <v>0</v>
      </c>
      <c r="G18" s="207"/>
    </row>
    <row r="19" spans="1:7" ht="15.6" x14ac:dyDescent="0.3">
      <c r="A19" s="195" t="s">
        <v>40</v>
      </c>
      <c r="B19" s="205" t="s">
        <v>41</v>
      </c>
      <c r="C19" s="197" t="s">
        <v>34</v>
      </c>
      <c r="D19" s="198">
        <f>+(9.99+18.67+29.27)*0.15</f>
        <v>8.6895000000000007</v>
      </c>
      <c r="E19" s="199"/>
      <c r="F19" s="199">
        <f t="shared" si="0"/>
        <v>0</v>
      </c>
      <c r="G19" s="207"/>
    </row>
    <row r="20" spans="1:7" ht="6.9" customHeight="1" x14ac:dyDescent="0.3">
      <c r="A20" s="201"/>
      <c r="B20" s="208"/>
      <c r="C20" s="208"/>
      <c r="D20" s="208"/>
      <c r="E20" s="209"/>
      <c r="F20" s="209"/>
      <c r="G20" s="210"/>
    </row>
    <row r="21" spans="1:7" x14ac:dyDescent="0.3">
      <c r="A21" s="189">
        <v>3</v>
      </c>
      <c r="B21" s="291" t="s">
        <v>64</v>
      </c>
      <c r="C21" s="292"/>
      <c r="D21" s="292"/>
      <c r="E21" s="292"/>
      <c r="F21" s="293"/>
      <c r="G21" s="190">
        <f>+SUM(F23:F24)</f>
        <v>0</v>
      </c>
    </row>
    <row r="22" spans="1:7" ht="6.9" customHeight="1" x14ac:dyDescent="0.3">
      <c r="A22" s="191"/>
      <c r="B22" s="192"/>
      <c r="C22" s="192"/>
      <c r="D22" s="192"/>
      <c r="E22" s="193"/>
      <c r="F22" s="193"/>
      <c r="G22" s="194"/>
    </row>
    <row r="23" spans="1:7" ht="66" x14ac:dyDescent="0.3">
      <c r="A23" s="211" t="s">
        <v>43</v>
      </c>
      <c r="B23" s="212" t="s">
        <v>89</v>
      </c>
      <c r="C23" s="197" t="s">
        <v>45</v>
      </c>
      <c r="D23" s="198">
        <f>+(0.96+1.05)*2.82+5</f>
        <v>10.668199999999999</v>
      </c>
      <c r="E23" s="199"/>
      <c r="F23" s="199">
        <f t="shared" ref="F23:F24" si="1">D23*E23</f>
        <v>0</v>
      </c>
      <c r="G23" s="207"/>
    </row>
    <row r="24" spans="1:7" ht="81.599999999999994" x14ac:dyDescent="0.3">
      <c r="A24" s="211" t="s">
        <v>46</v>
      </c>
      <c r="B24" s="205" t="s">
        <v>65</v>
      </c>
      <c r="C24" s="197" t="s">
        <v>45</v>
      </c>
      <c r="D24" s="198">
        <v>8</v>
      </c>
      <c r="E24" s="199"/>
      <c r="F24" s="199">
        <f t="shared" si="1"/>
        <v>0</v>
      </c>
      <c r="G24" s="207"/>
    </row>
    <row r="25" spans="1:7" x14ac:dyDescent="0.3">
      <c r="A25" s="211"/>
      <c r="B25" s="212"/>
      <c r="C25" s="197"/>
      <c r="D25" s="198"/>
      <c r="E25" s="199"/>
      <c r="F25" s="199"/>
      <c r="G25" s="207"/>
    </row>
    <row r="26" spans="1:7" x14ac:dyDescent="0.3">
      <c r="A26" s="189">
        <v>4</v>
      </c>
      <c r="B26" s="291" t="s">
        <v>66</v>
      </c>
      <c r="C26" s="292"/>
      <c r="D26" s="292"/>
      <c r="E26" s="292"/>
      <c r="F26" s="293"/>
      <c r="G26" s="190">
        <f>SUM(F28:F30)</f>
        <v>0</v>
      </c>
    </row>
    <row r="27" spans="1:7" x14ac:dyDescent="0.3">
      <c r="A27" s="211"/>
      <c r="B27" s="212"/>
      <c r="C27" s="197"/>
      <c r="D27" s="198"/>
      <c r="E27" s="199"/>
      <c r="F27" s="199"/>
      <c r="G27" s="207"/>
    </row>
    <row r="28" spans="1:7" ht="66" x14ac:dyDescent="0.3">
      <c r="A28" s="211" t="s">
        <v>51</v>
      </c>
      <c r="B28" s="212" t="s">
        <v>44</v>
      </c>
      <c r="C28" s="197" t="s">
        <v>45</v>
      </c>
      <c r="D28" s="198">
        <f>26*2.82+44</f>
        <v>117.32</v>
      </c>
      <c r="E28" s="199"/>
      <c r="F28" s="199">
        <f>+D28*E28</f>
        <v>0</v>
      </c>
      <c r="G28" s="207"/>
    </row>
    <row r="29" spans="1:7" ht="39.6" x14ac:dyDescent="0.3">
      <c r="A29" s="211" t="s">
        <v>67</v>
      </c>
      <c r="B29" s="213" t="s">
        <v>90</v>
      </c>
      <c r="C29" s="197" t="s">
        <v>45</v>
      </c>
      <c r="D29" s="198">
        <f>12*2.82</f>
        <v>33.839999999999996</v>
      </c>
      <c r="E29" s="199"/>
      <c r="F29" s="199">
        <f>+D29*E29</f>
        <v>0</v>
      </c>
      <c r="G29" s="207"/>
    </row>
    <row r="30" spans="1:7" ht="52.8" x14ac:dyDescent="0.3">
      <c r="A30" s="211" t="s">
        <v>68</v>
      </c>
      <c r="B30" s="212" t="s">
        <v>91</v>
      </c>
      <c r="C30" s="197" t="s">
        <v>45</v>
      </c>
      <c r="D30" s="198">
        <f>29.27+9.99</f>
        <v>39.26</v>
      </c>
      <c r="E30" s="199"/>
      <c r="F30" s="199">
        <f>+D30*E30</f>
        <v>0</v>
      </c>
      <c r="G30" s="207"/>
    </row>
    <row r="31" spans="1:7" x14ac:dyDescent="0.3">
      <c r="A31" s="211"/>
      <c r="B31" s="212"/>
      <c r="C31" s="197"/>
      <c r="D31" s="198"/>
      <c r="E31" s="199"/>
      <c r="F31" s="199"/>
      <c r="G31" s="207"/>
    </row>
    <row r="32" spans="1:7" x14ac:dyDescent="0.3">
      <c r="A32" s="189">
        <v>5</v>
      </c>
      <c r="B32" s="291" t="s">
        <v>69</v>
      </c>
      <c r="C32" s="292"/>
      <c r="D32" s="292"/>
      <c r="E32" s="292"/>
      <c r="F32" s="293"/>
      <c r="G32" s="190">
        <f>+SUM(F35:F37)</f>
        <v>0</v>
      </c>
    </row>
    <row r="33" spans="1:7" ht="6.9" customHeight="1" x14ac:dyDescent="0.3">
      <c r="A33" s="211"/>
      <c r="B33" s="212"/>
      <c r="C33" s="220"/>
      <c r="D33" s="198"/>
      <c r="E33" s="199"/>
      <c r="F33" s="199"/>
      <c r="G33" s="207"/>
    </row>
    <row r="34" spans="1:7" x14ac:dyDescent="0.3">
      <c r="A34" s="211" t="s">
        <v>55</v>
      </c>
      <c r="B34" s="226" t="s">
        <v>70</v>
      </c>
      <c r="C34" s="220"/>
      <c r="D34" s="198"/>
      <c r="E34" s="199"/>
      <c r="F34" s="199"/>
      <c r="G34" s="207"/>
    </row>
    <row r="35" spans="1:7" ht="66" x14ac:dyDescent="0.3">
      <c r="A35" s="211" t="s">
        <v>71</v>
      </c>
      <c r="B35" s="212" t="s">
        <v>72</v>
      </c>
      <c r="C35" s="197" t="s">
        <v>53</v>
      </c>
      <c r="D35" s="198">
        <v>1</v>
      </c>
      <c r="E35" s="199"/>
      <c r="F35" s="199">
        <f>+D35*E35</f>
        <v>0</v>
      </c>
      <c r="G35" s="207"/>
    </row>
    <row r="36" spans="1:7" ht="66" x14ac:dyDescent="0.3">
      <c r="A36" s="211" t="s">
        <v>73</v>
      </c>
      <c r="B36" s="212" t="s">
        <v>74</v>
      </c>
      <c r="C36" s="197" t="s">
        <v>53</v>
      </c>
      <c r="D36" s="198">
        <v>1</v>
      </c>
      <c r="E36" s="199"/>
      <c r="F36" s="199">
        <f t="shared" ref="F36:F37" si="2">+D36*E36</f>
        <v>0</v>
      </c>
      <c r="G36" s="207"/>
    </row>
    <row r="37" spans="1:7" ht="66" x14ac:dyDescent="0.3">
      <c r="A37" s="211" t="s">
        <v>75</v>
      </c>
      <c r="B37" s="212" t="s">
        <v>76</v>
      </c>
      <c r="C37" s="197" t="s">
        <v>53</v>
      </c>
      <c r="D37" s="198">
        <v>1</v>
      </c>
      <c r="E37" s="199"/>
      <c r="F37" s="199">
        <f t="shared" si="2"/>
        <v>0</v>
      </c>
      <c r="G37" s="207"/>
    </row>
    <row r="38" spans="1:7" ht="6.9" customHeight="1" x14ac:dyDescent="0.3">
      <c r="A38" s="214"/>
      <c r="B38" s="213"/>
      <c r="C38" s="215"/>
      <c r="D38" s="216"/>
      <c r="E38" s="217"/>
      <c r="F38" s="218"/>
      <c r="G38" s="219"/>
    </row>
    <row r="39" spans="1:7" x14ac:dyDescent="0.3">
      <c r="A39" s="189">
        <v>6</v>
      </c>
      <c r="B39" s="291" t="s">
        <v>92</v>
      </c>
      <c r="C39" s="292"/>
      <c r="D39" s="292"/>
      <c r="E39" s="292"/>
      <c r="F39" s="293"/>
      <c r="G39" s="190">
        <f>+SUM(F41)</f>
        <v>0</v>
      </c>
    </row>
    <row r="40" spans="1:7" x14ac:dyDescent="0.3">
      <c r="A40" s="211"/>
      <c r="B40" s="212"/>
      <c r="C40" s="220"/>
      <c r="D40" s="198"/>
      <c r="E40" s="199"/>
      <c r="F40" s="199"/>
      <c r="G40" s="207"/>
    </row>
    <row r="41" spans="1:7" ht="52.8" x14ac:dyDescent="0.3">
      <c r="A41" s="211" t="s">
        <v>58</v>
      </c>
      <c r="B41" s="212" t="s">
        <v>52</v>
      </c>
      <c r="C41" s="197" t="s">
        <v>53</v>
      </c>
      <c r="D41" s="198">
        <v>1</v>
      </c>
      <c r="E41" s="199"/>
      <c r="F41" s="199">
        <f t="shared" ref="F41" si="3">D41*E41</f>
        <v>0</v>
      </c>
      <c r="G41" s="207"/>
    </row>
    <row r="42" spans="1:7" x14ac:dyDescent="0.3">
      <c r="A42" s="211"/>
      <c r="B42" s="212"/>
      <c r="C42" s="197"/>
      <c r="D42" s="198"/>
      <c r="E42" s="199"/>
      <c r="F42" s="199"/>
      <c r="G42" s="207"/>
    </row>
    <row r="43" spans="1:7" x14ac:dyDescent="0.3">
      <c r="A43" s="189">
        <v>7</v>
      </c>
      <c r="B43" s="291" t="s">
        <v>93</v>
      </c>
      <c r="C43" s="292"/>
      <c r="D43" s="292"/>
      <c r="E43" s="292"/>
      <c r="F43" s="293"/>
      <c r="G43" s="190">
        <f>SUM(F45:F45)</f>
        <v>0</v>
      </c>
    </row>
    <row r="44" spans="1:7" x14ac:dyDescent="0.3">
      <c r="A44" s="214"/>
      <c r="B44" s="213"/>
      <c r="C44" s="221"/>
      <c r="D44" s="216"/>
      <c r="E44" s="217"/>
      <c r="F44" s="218"/>
      <c r="G44" s="219"/>
    </row>
    <row r="45" spans="1:7" ht="52.8" x14ac:dyDescent="0.3">
      <c r="A45" s="214" t="s">
        <v>79</v>
      </c>
      <c r="B45" s="213" t="s">
        <v>82</v>
      </c>
      <c r="C45" s="221" t="s">
        <v>94</v>
      </c>
      <c r="D45" s="216">
        <v>1</v>
      </c>
      <c r="E45" s="217"/>
      <c r="F45" s="218">
        <f>+D45*E45</f>
        <v>0</v>
      </c>
      <c r="G45" s="219"/>
    </row>
    <row r="46" spans="1:7" x14ac:dyDescent="0.3">
      <c r="A46" s="214"/>
      <c r="B46" s="213"/>
      <c r="C46" s="215"/>
      <c r="D46" s="216"/>
      <c r="E46" s="217"/>
      <c r="F46" s="218"/>
      <c r="G46" s="219"/>
    </row>
    <row r="47" spans="1:7" x14ac:dyDescent="0.3">
      <c r="A47" s="189">
        <v>8</v>
      </c>
      <c r="B47" s="291" t="s">
        <v>95</v>
      </c>
      <c r="C47" s="292"/>
      <c r="D47" s="292"/>
      <c r="E47" s="292"/>
      <c r="F47" s="293"/>
      <c r="G47" s="190">
        <f>SUM(F49:F50)</f>
        <v>0</v>
      </c>
    </row>
    <row r="48" spans="1:7" x14ac:dyDescent="0.3">
      <c r="A48" s="214"/>
      <c r="B48" s="213"/>
      <c r="C48" s="221"/>
      <c r="D48" s="216"/>
      <c r="E48" s="217"/>
      <c r="F48" s="218"/>
      <c r="G48" s="219"/>
    </row>
    <row r="49" spans="1:7" ht="66" x14ac:dyDescent="0.3">
      <c r="A49" s="214" t="s">
        <v>81</v>
      </c>
      <c r="B49" s="213" t="s">
        <v>56</v>
      </c>
      <c r="C49" s="221" t="s">
        <v>53</v>
      </c>
      <c r="D49" s="216">
        <v>1</v>
      </c>
      <c r="E49" s="217"/>
      <c r="F49" s="218">
        <f>+D49*E49</f>
        <v>0</v>
      </c>
      <c r="G49" s="219"/>
    </row>
    <row r="50" spans="1:7" ht="52.8" x14ac:dyDescent="0.3">
      <c r="A50" s="214" t="s">
        <v>96</v>
      </c>
      <c r="B50" s="213" t="s">
        <v>97</v>
      </c>
      <c r="C50" s="197" t="s">
        <v>45</v>
      </c>
      <c r="D50" s="216">
        <v>1</v>
      </c>
      <c r="E50" s="199"/>
      <c r="F50" s="218">
        <f>+D50*E50</f>
        <v>0</v>
      </c>
      <c r="G50" s="207"/>
    </row>
    <row r="51" spans="1:7" x14ac:dyDescent="0.3">
      <c r="A51" s="214"/>
      <c r="B51" s="213"/>
      <c r="C51" s="215"/>
      <c r="D51" s="216"/>
      <c r="E51" s="217"/>
      <c r="F51" s="218"/>
      <c r="G51" s="219"/>
    </row>
    <row r="52" spans="1:7" x14ac:dyDescent="0.3">
      <c r="A52" s="189">
        <v>9</v>
      </c>
      <c r="B52" s="291" t="s">
        <v>84</v>
      </c>
      <c r="C52" s="292"/>
      <c r="D52" s="292"/>
      <c r="E52" s="292"/>
      <c r="F52" s="293"/>
      <c r="G52" s="190">
        <f>+F54</f>
        <v>0</v>
      </c>
    </row>
    <row r="53" spans="1:7" x14ac:dyDescent="0.3">
      <c r="A53" s="211"/>
      <c r="B53" s="212"/>
      <c r="C53" s="197"/>
      <c r="D53" s="198"/>
      <c r="E53" s="199"/>
      <c r="F53" s="199"/>
      <c r="G53" s="207"/>
    </row>
    <row r="54" spans="1:7" ht="67.2" x14ac:dyDescent="0.3">
      <c r="A54" s="211" t="s">
        <v>85</v>
      </c>
      <c r="B54" s="213" t="s">
        <v>59</v>
      </c>
      <c r="C54" s="197" t="s">
        <v>53</v>
      </c>
      <c r="D54" s="198">
        <v>1</v>
      </c>
      <c r="E54" s="199"/>
      <c r="F54" s="199">
        <f>+D54*E54</f>
        <v>0</v>
      </c>
      <c r="G54" s="207"/>
    </row>
    <row r="55" spans="1:7" ht="15" thickBot="1" x14ac:dyDescent="0.35">
      <c r="A55" s="211"/>
      <c r="B55" s="222"/>
      <c r="C55" s="197"/>
      <c r="D55" s="223"/>
      <c r="E55" s="199"/>
      <c r="F55" s="199"/>
      <c r="G55" s="207"/>
    </row>
    <row r="56" spans="1:7" x14ac:dyDescent="0.3">
      <c r="A56" s="224"/>
      <c r="B56" s="314" t="s">
        <v>60</v>
      </c>
      <c r="C56" s="315"/>
      <c r="D56" s="315"/>
      <c r="E56" s="315"/>
      <c r="F56" s="316"/>
      <c r="G56" s="297">
        <f>+SUM(G10:G55)</f>
        <v>0</v>
      </c>
    </row>
    <row r="57" spans="1:7" ht="15" thickBot="1" x14ac:dyDescent="0.35">
      <c r="A57" s="225"/>
      <c r="B57" s="317"/>
      <c r="C57" s="318"/>
      <c r="D57" s="318"/>
      <c r="E57" s="318"/>
      <c r="F57" s="319"/>
      <c r="G57" s="298"/>
    </row>
  </sheetData>
  <mergeCells count="20">
    <mergeCell ref="G56:G57"/>
    <mergeCell ref="A9:G9"/>
    <mergeCell ref="B10:F10"/>
    <mergeCell ref="B15:F15"/>
    <mergeCell ref="B21:F21"/>
    <mergeCell ref="B26:F26"/>
    <mergeCell ref="B32:F32"/>
    <mergeCell ref="B39:F39"/>
    <mergeCell ref="B43:F43"/>
    <mergeCell ref="B47:F47"/>
    <mergeCell ref="B52:F52"/>
    <mergeCell ref="B56:F57"/>
    <mergeCell ref="F4:G4"/>
    <mergeCell ref="F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E51" sqref="E51"/>
    </sheetView>
  </sheetViews>
  <sheetFormatPr defaultColWidth="9.109375" defaultRowHeight="14.4" x14ac:dyDescent="0.3"/>
  <cols>
    <col min="2" max="2" width="39.5546875" customWidth="1"/>
    <col min="5" max="5" width="10.6640625" customWidth="1"/>
    <col min="6" max="6" width="14.33203125" customWidth="1"/>
    <col min="7" max="7" width="11.33203125" customWidth="1"/>
  </cols>
  <sheetData>
    <row r="1" spans="1:7" x14ac:dyDescent="0.3">
      <c r="A1" s="70"/>
      <c r="E1" s="71"/>
      <c r="F1" s="71"/>
    </row>
    <row r="2" spans="1:7" x14ac:dyDescent="0.3">
      <c r="A2" s="4" t="s">
        <v>13</v>
      </c>
      <c r="B2" s="4"/>
      <c r="C2" s="113"/>
      <c r="D2" s="113"/>
      <c r="E2" s="5"/>
      <c r="F2" s="114"/>
      <c r="G2" s="113"/>
    </row>
    <row r="3" spans="1:7" x14ac:dyDescent="0.3">
      <c r="A3" s="1" t="s">
        <v>14</v>
      </c>
      <c r="B3" s="4" t="s">
        <v>15</v>
      </c>
      <c r="C3" s="3"/>
      <c r="E3" s="11"/>
      <c r="F3" s="2"/>
      <c r="G3" s="3"/>
    </row>
    <row r="4" spans="1:7" x14ac:dyDescent="0.3">
      <c r="A4" s="1" t="s">
        <v>16</v>
      </c>
      <c r="B4" s="4"/>
      <c r="C4" s="3"/>
      <c r="D4" s="3"/>
      <c r="E4" s="5"/>
      <c r="F4" s="255"/>
      <c r="G4" s="255"/>
    </row>
    <row r="5" spans="1:7" x14ac:dyDescent="0.3">
      <c r="A5" s="1" t="s">
        <v>17</v>
      </c>
      <c r="B5" s="4" t="s">
        <v>217</v>
      </c>
      <c r="C5" s="3"/>
      <c r="D5" s="3"/>
      <c r="E5" s="5"/>
      <c r="F5" s="255" t="s">
        <v>218</v>
      </c>
      <c r="G5" s="255"/>
    </row>
    <row r="6" spans="1:7" ht="15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323" t="s">
        <v>20</v>
      </c>
      <c r="B7" s="323" t="s">
        <v>21</v>
      </c>
      <c r="C7" s="323" t="s">
        <v>22</v>
      </c>
      <c r="D7" s="325" t="s">
        <v>23</v>
      </c>
      <c r="E7" s="327" t="s">
        <v>24</v>
      </c>
      <c r="F7" s="329" t="s">
        <v>25</v>
      </c>
      <c r="G7" s="330"/>
    </row>
    <row r="8" spans="1:7" ht="15" thickBot="1" x14ac:dyDescent="0.35">
      <c r="A8" s="324"/>
      <c r="B8" s="324" t="s">
        <v>26</v>
      </c>
      <c r="C8" s="324" t="s">
        <v>27</v>
      </c>
      <c r="D8" s="326" t="s">
        <v>28</v>
      </c>
      <c r="E8" s="328"/>
      <c r="F8" s="227" t="s">
        <v>29</v>
      </c>
      <c r="G8" s="228" t="s">
        <v>30</v>
      </c>
    </row>
    <row r="9" spans="1:7" x14ac:dyDescent="0.3">
      <c r="A9" s="284"/>
      <c r="B9" s="285"/>
      <c r="C9" s="285"/>
      <c r="D9" s="285"/>
      <c r="E9" s="285"/>
      <c r="F9" s="285"/>
      <c r="G9" s="286"/>
    </row>
    <row r="10" spans="1:7" x14ac:dyDescent="0.3">
      <c r="A10" s="229">
        <v>1</v>
      </c>
      <c r="B10" s="320" t="s">
        <v>31</v>
      </c>
      <c r="C10" s="321"/>
      <c r="D10" s="321"/>
      <c r="E10" s="321"/>
      <c r="F10" s="322"/>
      <c r="G10" s="230">
        <f>+SUM(F12:F13)</f>
        <v>0</v>
      </c>
    </row>
    <row r="11" spans="1:7" x14ac:dyDescent="0.3">
      <c r="A11" s="116"/>
      <c r="B11" s="117"/>
      <c r="C11" s="117"/>
      <c r="D11" s="117"/>
      <c r="E11" s="118"/>
      <c r="F11" s="118"/>
      <c r="G11" s="119"/>
    </row>
    <row r="12" spans="1:7" ht="51" customHeight="1" x14ac:dyDescent="0.3">
      <c r="A12" s="13" t="s">
        <v>32</v>
      </c>
      <c r="B12" s="14" t="s">
        <v>205</v>
      </c>
      <c r="C12" s="15" t="s">
        <v>115</v>
      </c>
      <c r="D12" s="16">
        <f>(116.3*0.15)</f>
        <v>17.445</v>
      </c>
      <c r="E12" s="17"/>
      <c r="F12" s="17">
        <f>+D12*E12</f>
        <v>0</v>
      </c>
      <c r="G12" s="18"/>
    </row>
    <row r="13" spans="1:7" ht="57" customHeight="1" x14ac:dyDescent="0.3">
      <c r="A13" s="13" t="s">
        <v>62</v>
      </c>
      <c r="B13" s="14" t="s">
        <v>112</v>
      </c>
      <c r="C13" s="15" t="s">
        <v>113</v>
      </c>
      <c r="D13" s="16">
        <f>((10.67+5.05+16.77)*(0.2*6))+0.25*2.7</f>
        <v>39.662999999999997</v>
      </c>
      <c r="E13" s="17"/>
      <c r="F13" s="17">
        <f>D13*E13</f>
        <v>0</v>
      </c>
      <c r="G13" s="18"/>
    </row>
    <row r="14" spans="1:7" ht="16.5" customHeight="1" x14ac:dyDescent="0.3">
      <c r="A14" s="13"/>
      <c r="B14" s="14"/>
      <c r="C14" s="15"/>
      <c r="D14" s="16"/>
      <c r="E14" s="17"/>
      <c r="F14" s="17"/>
      <c r="G14" s="18"/>
    </row>
    <row r="15" spans="1:7" x14ac:dyDescent="0.3">
      <c r="A15" s="229">
        <v>2</v>
      </c>
      <c r="B15" s="320" t="s">
        <v>35</v>
      </c>
      <c r="C15" s="321"/>
      <c r="D15" s="321"/>
      <c r="E15" s="321"/>
      <c r="F15" s="322"/>
      <c r="G15" s="230">
        <f>SUM(F17:F19)</f>
        <v>0</v>
      </c>
    </row>
    <row r="16" spans="1:7" x14ac:dyDescent="0.3">
      <c r="A16" s="124"/>
      <c r="B16" s="125"/>
      <c r="C16" s="126"/>
      <c r="D16" s="126"/>
      <c r="E16" s="126"/>
      <c r="F16" s="127"/>
      <c r="G16" s="128"/>
    </row>
    <row r="17" spans="1:12" ht="91.5" customHeight="1" x14ac:dyDescent="0.3">
      <c r="A17" s="36" t="s">
        <v>36</v>
      </c>
      <c r="B17" s="37" t="s">
        <v>37</v>
      </c>
      <c r="C17" s="38"/>
      <c r="D17" s="16"/>
      <c r="E17" s="17"/>
      <c r="F17" s="17"/>
      <c r="G17" s="39"/>
    </row>
    <row r="18" spans="1:12" ht="15" x14ac:dyDescent="0.3">
      <c r="A18" s="13" t="s">
        <v>38</v>
      </c>
      <c r="B18" s="37" t="s">
        <v>39</v>
      </c>
      <c r="C18" s="15" t="s">
        <v>115</v>
      </c>
      <c r="D18" s="16">
        <f>((1.9*2+2*2+2.6*4+2.47*2+1.8*2+4.47+2.7+3.85+0.8+4.2*4+1.75*2+3.2*2+5.15)*0.2*0.4)</f>
        <v>5.6328000000000014</v>
      </c>
      <c r="E18" s="17"/>
      <c r="F18" s="17">
        <f t="shared" ref="F18:F19" si="0">D18*E18</f>
        <v>0</v>
      </c>
      <c r="G18" s="39"/>
    </row>
    <row r="19" spans="1:12" ht="15" x14ac:dyDescent="0.3">
      <c r="A19" s="13" t="s">
        <v>40</v>
      </c>
      <c r="B19" s="37" t="s">
        <v>41</v>
      </c>
      <c r="C19" s="15" t="s">
        <v>115</v>
      </c>
      <c r="D19" s="16">
        <f>((7.31+5.4+10.92+4.55+8.32+10.37+7.82+14.3+7.56)*0.15)</f>
        <v>11.4825</v>
      </c>
      <c r="E19" s="17"/>
      <c r="F19" s="17">
        <f t="shared" si="0"/>
        <v>0</v>
      </c>
      <c r="G19" s="39"/>
    </row>
    <row r="20" spans="1:12" x14ac:dyDescent="0.3">
      <c r="A20" s="13"/>
      <c r="B20" s="37"/>
      <c r="C20" s="15"/>
      <c r="D20" s="16"/>
      <c r="E20" s="17"/>
      <c r="F20" s="17"/>
      <c r="G20" s="39"/>
    </row>
    <row r="21" spans="1:12" x14ac:dyDescent="0.3">
      <c r="A21" s="229">
        <v>3</v>
      </c>
      <c r="B21" s="331" t="s">
        <v>64</v>
      </c>
      <c r="C21" s="332"/>
      <c r="D21" s="332"/>
      <c r="E21" s="332"/>
      <c r="F21" s="333"/>
      <c r="G21" s="231">
        <f>F23</f>
        <v>0</v>
      </c>
      <c r="H21" s="232"/>
      <c r="I21" s="232"/>
      <c r="J21" s="232"/>
      <c r="K21" s="232"/>
      <c r="L21" s="232"/>
    </row>
    <row r="22" spans="1:12" x14ac:dyDescent="0.3">
      <c r="A22" s="13"/>
      <c r="B22" s="37"/>
      <c r="C22" s="15"/>
      <c r="D22" s="16"/>
      <c r="E22" s="17"/>
      <c r="F22" s="17"/>
      <c r="G22" s="39"/>
    </row>
    <row r="23" spans="1:12" ht="85.5" customHeight="1" x14ac:dyDescent="0.3">
      <c r="A23" s="13" t="s">
        <v>43</v>
      </c>
      <c r="B23" s="47" t="s">
        <v>219</v>
      </c>
      <c r="C23" s="15" t="s">
        <v>113</v>
      </c>
      <c r="D23" s="16">
        <f>((1.9*2+2*2+2.6*4+2.47*2+2.47+4.47+1.8*2+3.85+2.7+4.2+1.75+3.2+4.2+4.2+5.15+3.2)*0.4)</f>
        <v>26.452000000000005</v>
      </c>
      <c r="E23" s="17"/>
      <c r="F23" s="17">
        <f>D23*E23</f>
        <v>0</v>
      </c>
      <c r="G23" s="39"/>
    </row>
    <row r="24" spans="1:12" x14ac:dyDescent="0.3">
      <c r="A24" s="120"/>
      <c r="B24" s="142"/>
      <c r="C24" s="142"/>
      <c r="D24" s="142"/>
      <c r="E24" s="143"/>
      <c r="F24" s="143"/>
      <c r="G24" s="144"/>
    </row>
    <row r="25" spans="1:12" x14ac:dyDescent="0.3">
      <c r="A25" s="115">
        <v>3</v>
      </c>
      <c r="B25" s="265" t="s">
        <v>42</v>
      </c>
      <c r="C25" s="266"/>
      <c r="D25" s="266"/>
      <c r="E25" s="266"/>
      <c r="F25" s="267"/>
      <c r="G25" s="233">
        <f>SUM(F27:F27)</f>
        <v>0</v>
      </c>
    </row>
    <row r="26" spans="1:12" x14ac:dyDescent="0.3">
      <c r="A26" s="46"/>
      <c r="B26" s="47"/>
      <c r="C26" s="15"/>
      <c r="D26" s="16"/>
      <c r="E26" s="17"/>
      <c r="F26" s="17"/>
      <c r="G26" s="39"/>
    </row>
    <row r="27" spans="1:12" ht="39.75" customHeight="1" x14ac:dyDescent="0.3">
      <c r="A27" s="46" t="s">
        <v>43</v>
      </c>
      <c r="B27" s="47" t="s">
        <v>209</v>
      </c>
      <c r="C27" s="15" t="s">
        <v>113</v>
      </c>
      <c r="D27" s="16">
        <f>((9.95)*2.7)-(1.5*1.1+0.85*2.1+2.23*1.1)</f>
        <v>20.976999999999997</v>
      </c>
      <c r="E27" s="17"/>
      <c r="F27" s="17">
        <f>+D27*E27</f>
        <v>0</v>
      </c>
      <c r="G27" s="39"/>
    </row>
    <row r="28" spans="1:12" x14ac:dyDescent="0.3">
      <c r="A28" s="46"/>
      <c r="B28" s="47"/>
      <c r="C28" s="15"/>
      <c r="D28" s="16"/>
      <c r="E28" s="17"/>
      <c r="F28" s="17"/>
      <c r="G28" s="39"/>
    </row>
    <row r="29" spans="1:12" x14ac:dyDescent="0.3">
      <c r="A29" s="229">
        <v>4</v>
      </c>
      <c r="B29" s="320" t="s">
        <v>196</v>
      </c>
      <c r="C29" s="321"/>
      <c r="D29" s="321"/>
      <c r="E29" s="321"/>
      <c r="F29" s="322"/>
      <c r="G29" s="230">
        <f>SUM(F31:F32)</f>
        <v>0</v>
      </c>
    </row>
    <row r="30" spans="1:12" x14ac:dyDescent="0.3">
      <c r="A30" s="46"/>
      <c r="B30" s="47"/>
      <c r="C30" s="15"/>
      <c r="D30" s="16"/>
      <c r="E30" s="17"/>
      <c r="F30" s="17"/>
      <c r="G30" s="39"/>
    </row>
    <row r="31" spans="1:12" ht="20.25" customHeight="1" x14ac:dyDescent="0.3">
      <c r="A31" s="76" t="s">
        <v>51</v>
      </c>
      <c r="B31" s="77" t="s">
        <v>70</v>
      </c>
      <c r="C31" s="15"/>
      <c r="D31" s="16"/>
      <c r="E31" s="17"/>
      <c r="F31" s="17">
        <f>+D31*E31</f>
        <v>0</v>
      </c>
      <c r="G31" s="39"/>
    </row>
    <row r="32" spans="1:12" ht="56.25" customHeight="1" x14ac:dyDescent="0.3">
      <c r="A32" s="46" t="s">
        <v>197</v>
      </c>
      <c r="B32" s="47" t="s">
        <v>220</v>
      </c>
      <c r="C32" s="15" t="s">
        <v>151</v>
      </c>
      <c r="D32" s="16">
        <v>1</v>
      </c>
      <c r="E32" s="17"/>
      <c r="F32" s="17">
        <f>+D32*E32</f>
        <v>0</v>
      </c>
      <c r="G32" s="39"/>
    </row>
    <row r="33" spans="1:7" x14ac:dyDescent="0.3">
      <c r="A33" s="46"/>
      <c r="B33" s="47"/>
      <c r="C33" s="15"/>
      <c r="D33" s="16"/>
      <c r="E33" s="17"/>
      <c r="F33" s="17"/>
      <c r="G33" s="39"/>
    </row>
    <row r="34" spans="1:7" x14ac:dyDescent="0.3">
      <c r="A34" s="115">
        <v>5</v>
      </c>
      <c r="B34" s="265" t="s">
        <v>117</v>
      </c>
      <c r="C34" s="266"/>
      <c r="D34" s="266"/>
      <c r="E34" s="266"/>
      <c r="F34" s="267"/>
      <c r="G34" s="233">
        <f>+SUM(F36:F37)</f>
        <v>0</v>
      </c>
    </row>
    <row r="35" spans="1:7" x14ac:dyDescent="0.3">
      <c r="A35" s="46"/>
      <c r="B35" s="47"/>
      <c r="C35" s="133"/>
      <c r="D35" s="16"/>
      <c r="E35" s="17"/>
      <c r="F35" s="17"/>
      <c r="G35" s="39"/>
    </row>
    <row r="36" spans="1:7" ht="58.5" customHeight="1" x14ac:dyDescent="0.3">
      <c r="A36" s="46" t="s">
        <v>55</v>
      </c>
      <c r="B36" s="47" t="s">
        <v>184</v>
      </c>
      <c r="C36" s="15" t="s">
        <v>53</v>
      </c>
      <c r="D36" s="16">
        <v>1</v>
      </c>
      <c r="E36" s="17"/>
      <c r="F36" s="17">
        <f t="shared" ref="F36" si="1">D36*E36</f>
        <v>0</v>
      </c>
      <c r="G36" s="39"/>
    </row>
    <row r="37" spans="1:7" x14ac:dyDescent="0.3">
      <c r="A37" s="46"/>
      <c r="B37" s="47"/>
      <c r="C37" s="133"/>
      <c r="D37" s="16"/>
      <c r="E37" s="17"/>
      <c r="F37" s="17"/>
      <c r="G37" s="39"/>
    </row>
    <row r="38" spans="1:7" x14ac:dyDescent="0.3">
      <c r="A38" s="115">
        <v>6</v>
      </c>
      <c r="B38" s="265" t="s">
        <v>221</v>
      </c>
      <c r="C38" s="266"/>
      <c r="D38" s="266"/>
      <c r="E38" s="266"/>
      <c r="F38" s="267"/>
      <c r="G38" s="233">
        <f>+F40</f>
        <v>0</v>
      </c>
    </row>
    <row r="39" spans="1:7" x14ac:dyDescent="0.3">
      <c r="A39" s="46"/>
      <c r="B39" s="47"/>
      <c r="C39" s="15"/>
      <c r="D39" s="16"/>
      <c r="E39" s="17"/>
      <c r="F39" s="17"/>
      <c r="G39" s="39"/>
    </row>
    <row r="40" spans="1:7" ht="60" customHeight="1" x14ac:dyDescent="0.3">
      <c r="A40" s="46" t="s">
        <v>58</v>
      </c>
      <c r="B40" s="47" t="s">
        <v>189</v>
      </c>
      <c r="C40" s="15" t="s">
        <v>53</v>
      </c>
      <c r="D40" s="16">
        <v>1</v>
      </c>
      <c r="E40" s="17"/>
      <c r="F40" s="17">
        <f>+D40*E40</f>
        <v>0</v>
      </c>
      <c r="G40" s="39"/>
    </row>
    <row r="41" spans="1:7" x14ac:dyDescent="0.3">
      <c r="A41" s="46"/>
      <c r="B41" s="47"/>
      <c r="C41" s="15"/>
      <c r="D41" s="16"/>
      <c r="E41" s="17"/>
      <c r="F41" s="17"/>
      <c r="G41" s="39"/>
    </row>
    <row r="42" spans="1:7" x14ac:dyDescent="0.3">
      <c r="A42" s="234">
        <v>9</v>
      </c>
      <c r="B42" s="334" t="s">
        <v>125</v>
      </c>
      <c r="C42" s="334"/>
      <c r="D42" s="334"/>
      <c r="E42" s="334"/>
      <c r="F42" s="334"/>
      <c r="G42" s="230">
        <f>+SUM(F44:F45)</f>
        <v>0</v>
      </c>
    </row>
    <row r="43" spans="1:7" x14ac:dyDescent="0.3">
      <c r="A43" s="80"/>
      <c r="B43" s="81"/>
      <c r="C43" s="82"/>
      <c r="D43" s="83"/>
      <c r="E43" s="84"/>
      <c r="F43" s="84"/>
      <c r="G43" s="39"/>
    </row>
    <row r="44" spans="1:7" ht="62.25" customHeight="1" x14ac:dyDescent="0.3">
      <c r="A44" s="136" t="s">
        <v>85</v>
      </c>
      <c r="B44" s="47" t="s">
        <v>126</v>
      </c>
      <c r="C44" s="15" t="s">
        <v>113</v>
      </c>
      <c r="D44" s="16">
        <f>1.5*9.95</f>
        <v>14.924999999999999</v>
      </c>
      <c r="E44" s="17"/>
      <c r="F44" s="17">
        <f>D44*E44</f>
        <v>0</v>
      </c>
      <c r="G44" s="39"/>
    </row>
    <row r="45" spans="1:7" ht="58.5" customHeight="1" x14ac:dyDescent="0.3">
      <c r="A45" s="136" t="s">
        <v>127</v>
      </c>
      <c r="B45" s="47" t="s">
        <v>128</v>
      </c>
      <c r="C45" s="15" t="s">
        <v>53</v>
      </c>
      <c r="D45" s="16">
        <v>1</v>
      </c>
      <c r="E45" s="17"/>
      <c r="F45" s="17">
        <f>D45*E45</f>
        <v>0</v>
      </c>
      <c r="G45" s="39"/>
    </row>
    <row r="46" spans="1:7" ht="15" thickBot="1" x14ac:dyDescent="0.35">
      <c r="A46" s="46"/>
      <c r="B46" s="101"/>
      <c r="C46" s="102"/>
      <c r="D46" s="103"/>
      <c r="E46" s="17"/>
      <c r="F46" s="17"/>
      <c r="G46" s="39"/>
    </row>
    <row r="47" spans="1:7" x14ac:dyDescent="0.3">
      <c r="A47" s="235"/>
      <c r="B47" s="335"/>
      <c r="C47" s="336"/>
      <c r="D47" s="336"/>
      <c r="E47" s="336"/>
      <c r="F47" s="337"/>
      <c r="G47" s="338">
        <f>+SUM(G10:G46)</f>
        <v>0</v>
      </c>
    </row>
    <row r="48" spans="1:7" ht="15" thickBot="1" x14ac:dyDescent="0.35">
      <c r="A48" s="236"/>
      <c r="B48" s="340" t="s">
        <v>60</v>
      </c>
      <c r="C48" s="341"/>
      <c r="D48" s="341"/>
      <c r="E48" s="341"/>
      <c r="F48" s="342"/>
      <c r="G48" s="339"/>
    </row>
  </sheetData>
  <mergeCells count="20">
    <mergeCell ref="B34:F34"/>
    <mergeCell ref="B38:F38"/>
    <mergeCell ref="B42:F42"/>
    <mergeCell ref="B47:F47"/>
    <mergeCell ref="G47:G48"/>
    <mergeCell ref="B48:F48"/>
    <mergeCell ref="B29:F29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21:F21"/>
    <mergeCell ref="B25:F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E44" sqref="E44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6.554687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98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6.9" customHeight="1" x14ac:dyDescent="0.3">
      <c r="A9" s="201"/>
      <c r="B9" s="202"/>
      <c r="C9" s="202"/>
      <c r="D9" s="202"/>
      <c r="E9" s="203"/>
      <c r="F9" s="199"/>
      <c r="G9" s="204"/>
    </row>
    <row r="10" spans="1:7" x14ac:dyDescent="0.3">
      <c r="A10" s="189">
        <v>1</v>
      </c>
      <c r="B10" s="291" t="s">
        <v>99</v>
      </c>
      <c r="C10" s="292"/>
      <c r="D10" s="292"/>
      <c r="E10" s="292"/>
      <c r="F10" s="293"/>
      <c r="G10" s="190">
        <f>SUM(F12:F15)</f>
        <v>0</v>
      </c>
    </row>
    <row r="11" spans="1:7" x14ac:dyDescent="0.3">
      <c r="A11" s="211"/>
      <c r="B11" s="212"/>
      <c r="C11" s="197"/>
      <c r="D11" s="198"/>
      <c r="E11" s="199"/>
      <c r="F11" s="199"/>
      <c r="G11" s="207"/>
    </row>
    <row r="12" spans="1:7" ht="66" x14ac:dyDescent="0.3">
      <c r="A12" s="211" t="s">
        <v>32</v>
      </c>
      <c r="B12" s="212" t="s">
        <v>44</v>
      </c>
      <c r="C12" s="197" t="s">
        <v>45</v>
      </c>
      <c r="D12" s="198">
        <v>33</v>
      </c>
      <c r="E12" s="199"/>
      <c r="F12" s="199">
        <f>+D12*E12</f>
        <v>0</v>
      </c>
      <c r="G12" s="207"/>
    </row>
    <row r="13" spans="1:7" ht="26.4" x14ac:dyDescent="0.3">
      <c r="A13" s="211" t="s">
        <v>62</v>
      </c>
      <c r="B13" s="213" t="s">
        <v>47</v>
      </c>
      <c r="C13" s="197" t="s">
        <v>45</v>
      </c>
      <c r="D13" s="198">
        <f>+D12+100.59</f>
        <v>133.59</v>
      </c>
      <c r="E13" s="199"/>
      <c r="F13" s="199">
        <f>+D13*E13</f>
        <v>0</v>
      </c>
      <c r="G13" s="207"/>
    </row>
    <row r="14" spans="1:7" ht="26.4" x14ac:dyDescent="0.3">
      <c r="A14" s="211" t="s">
        <v>100</v>
      </c>
      <c r="B14" s="213" t="s">
        <v>49</v>
      </c>
      <c r="C14" s="197" t="s">
        <v>45</v>
      </c>
      <c r="D14" s="198">
        <v>50.41</v>
      </c>
      <c r="E14" s="199"/>
      <c r="F14" s="199">
        <f>+D14*E14</f>
        <v>0</v>
      </c>
      <c r="G14" s="207"/>
    </row>
    <row r="15" spans="1:7" ht="52.8" x14ac:dyDescent="0.3">
      <c r="A15" s="211" t="s">
        <v>101</v>
      </c>
      <c r="B15" s="212" t="s">
        <v>91</v>
      </c>
      <c r="C15" s="197" t="s">
        <v>45</v>
      </c>
      <c r="D15" s="198">
        <v>50.41</v>
      </c>
      <c r="E15" s="199"/>
      <c r="F15" s="199">
        <f>+D15*E15</f>
        <v>0</v>
      </c>
      <c r="G15" s="207"/>
    </row>
    <row r="16" spans="1:7" x14ac:dyDescent="0.3">
      <c r="A16" s="211"/>
      <c r="B16" s="212"/>
      <c r="C16" s="197"/>
      <c r="D16" s="198"/>
      <c r="E16" s="199"/>
      <c r="F16" s="199"/>
      <c r="G16" s="207"/>
    </row>
    <row r="17" spans="1:7" x14ac:dyDescent="0.3">
      <c r="A17" s="189">
        <v>2</v>
      </c>
      <c r="B17" s="291" t="s">
        <v>102</v>
      </c>
      <c r="C17" s="292"/>
      <c r="D17" s="292"/>
      <c r="E17" s="292"/>
      <c r="F17" s="293"/>
      <c r="G17" s="190">
        <f>+SUM(F20:F22)</f>
        <v>0</v>
      </c>
    </row>
    <row r="18" spans="1:7" ht="6.9" customHeight="1" x14ac:dyDescent="0.3">
      <c r="A18" s="211"/>
      <c r="B18" s="212"/>
      <c r="C18" s="220"/>
      <c r="D18" s="198"/>
      <c r="E18" s="199"/>
      <c r="F18" s="199"/>
      <c r="G18" s="207"/>
    </row>
    <row r="19" spans="1:7" x14ac:dyDescent="0.3">
      <c r="A19" s="211" t="s">
        <v>36</v>
      </c>
      <c r="B19" s="226" t="s">
        <v>70</v>
      </c>
      <c r="C19" s="220"/>
      <c r="D19" s="198"/>
      <c r="E19" s="199"/>
      <c r="F19" s="199"/>
      <c r="G19" s="207"/>
    </row>
    <row r="20" spans="1:7" ht="66" x14ac:dyDescent="0.3">
      <c r="A20" s="211" t="s">
        <v>38</v>
      </c>
      <c r="B20" s="212" t="s">
        <v>72</v>
      </c>
      <c r="C20" s="197" t="s">
        <v>53</v>
      </c>
      <c r="D20" s="198">
        <v>1</v>
      </c>
      <c r="E20" s="199"/>
      <c r="F20" s="199"/>
      <c r="G20" s="207"/>
    </row>
    <row r="21" spans="1:7" ht="66" x14ac:dyDescent="0.3">
      <c r="A21" s="211" t="s">
        <v>40</v>
      </c>
      <c r="B21" s="212" t="s">
        <v>74</v>
      </c>
      <c r="C21" s="197" t="s">
        <v>53</v>
      </c>
      <c r="D21" s="198">
        <v>1</v>
      </c>
      <c r="E21" s="199"/>
      <c r="F21" s="199"/>
      <c r="G21" s="207"/>
    </row>
    <row r="22" spans="1:7" ht="66" x14ac:dyDescent="0.3">
      <c r="A22" s="211" t="s">
        <v>103</v>
      </c>
      <c r="B22" s="212" t="s">
        <v>76</v>
      </c>
      <c r="C22" s="197" t="s">
        <v>53</v>
      </c>
      <c r="D22" s="198">
        <v>1</v>
      </c>
      <c r="E22" s="199"/>
      <c r="F22" s="199"/>
      <c r="G22" s="207"/>
    </row>
    <row r="23" spans="1:7" ht="6.9" customHeight="1" x14ac:dyDescent="0.3">
      <c r="A23" s="214"/>
      <c r="B23" s="213"/>
      <c r="C23" s="215"/>
      <c r="D23" s="216"/>
      <c r="E23" s="217"/>
      <c r="F23" s="218"/>
      <c r="G23" s="219"/>
    </row>
    <row r="24" spans="1:7" x14ac:dyDescent="0.3">
      <c r="A24" s="189">
        <v>3</v>
      </c>
      <c r="B24" s="291" t="s">
        <v>104</v>
      </c>
      <c r="C24" s="292"/>
      <c r="D24" s="292"/>
      <c r="E24" s="292"/>
      <c r="F24" s="293"/>
      <c r="G24" s="190">
        <f>+SUM(F26)</f>
        <v>0</v>
      </c>
    </row>
    <row r="25" spans="1:7" x14ac:dyDescent="0.3">
      <c r="A25" s="211"/>
      <c r="B25" s="212"/>
      <c r="C25" s="220"/>
      <c r="D25" s="198"/>
      <c r="E25" s="199"/>
      <c r="F25" s="199"/>
      <c r="G25" s="207"/>
    </row>
    <row r="26" spans="1:7" ht="52.8" x14ac:dyDescent="0.3">
      <c r="A26" s="211" t="s">
        <v>43</v>
      </c>
      <c r="B26" s="212" t="s">
        <v>52</v>
      </c>
      <c r="C26" s="197" t="s">
        <v>53</v>
      </c>
      <c r="D26" s="198">
        <v>1</v>
      </c>
      <c r="E26" s="199"/>
      <c r="F26" s="199">
        <f t="shared" ref="F26" si="0">D26*E26</f>
        <v>0</v>
      </c>
      <c r="G26" s="207"/>
    </row>
    <row r="27" spans="1:7" x14ac:dyDescent="0.3">
      <c r="A27" s="211"/>
      <c r="B27" s="212"/>
      <c r="C27" s="197"/>
      <c r="D27" s="198"/>
      <c r="E27" s="199"/>
      <c r="F27" s="199"/>
      <c r="G27" s="207"/>
    </row>
    <row r="28" spans="1:7" x14ac:dyDescent="0.3">
      <c r="A28" s="189">
        <v>4</v>
      </c>
      <c r="B28" s="291" t="s">
        <v>105</v>
      </c>
      <c r="C28" s="292"/>
      <c r="D28" s="292"/>
      <c r="E28" s="292"/>
      <c r="F28" s="293"/>
      <c r="G28" s="190">
        <f>SUM(F30:F30)</f>
        <v>0</v>
      </c>
    </row>
    <row r="29" spans="1:7" x14ac:dyDescent="0.3">
      <c r="A29" s="214"/>
      <c r="B29" s="213"/>
      <c r="C29" s="221"/>
      <c r="D29" s="216"/>
      <c r="E29" s="217"/>
      <c r="F29" s="218"/>
      <c r="G29" s="219"/>
    </row>
    <row r="30" spans="1:7" ht="52.8" x14ac:dyDescent="0.3">
      <c r="A30" s="214" t="s">
        <v>51</v>
      </c>
      <c r="B30" s="213" t="s">
        <v>82</v>
      </c>
      <c r="C30" s="221" t="s">
        <v>94</v>
      </c>
      <c r="D30" s="216">
        <v>1</v>
      </c>
      <c r="E30" s="217"/>
      <c r="F30" s="218">
        <f>+D30*E30</f>
        <v>0</v>
      </c>
      <c r="G30" s="219"/>
    </row>
    <row r="31" spans="1:7" x14ac:dyDescent="0.3">
      <c r="A31" s="214"/>
      <c r="B31" s="213"/>
      <c r="C31" s="215"/>
      <c r="D31" s="216"/>
      <c r="E31" s="217"/>
      <c r="F31" s="218"/>
      <c r="G31" s="219"/>
    </row>
    <row r="32" spans="1:7" x14ac:dyDescent="0.3">
      <c r="A32" s="189">
        <v>5</v>
      </c>
      <c r="B32" s="291" t="s">
        <v>54</v>
      </c>
      <c r="C32" s="292"/>
      <c r="D32" s="292"/>
      <c r="E32" s="292"/>
      <c r="F32" s="293"/>
      <c r="G32" s="190">
        <f>SUM(F34:F35)</f>
        <v>0</v>
      </c>
    </row>
    <row r="33" spans="1:7" x14ac:dyDescent="0.3">
      <c r="A33" s="214"/>
      <c r="B33" s="213"/>
      <c r="C33" s="221"/>
      <c r="D33" s="216"/>
      <c r="E33" s="217"/>
      <c r="F33" s="218"/>
      <c r="G33" s="219"/>
    </row>
    <row r="34" spans="1:7" ht="66" x14ac:dyDescent="0.3">
      <c r="A34" s="214" t="s">
        <v>55</v>
      </c>
      <c r="B34" s="213" t="s">
        <v>56</v>
      </c>
      <c r="C34" s="221" t="s">
        <v>53</v>
      </c>
      <c r="D34" s="216">
        <v>1</v>
      </c>
      <c r="E34" s="217"/>
      <c r="F34" s="218">
        <f>+D34*E34</f>
        <v>0</v>
      </c>
      <c r="G34" s="219"/>
    </row>
    <row r="35" spans="1:7" ht="52.8" x14ac:dyDescent="0.3">
      <c r="A35" s="214" t="s">
        <v>106</v>
      </c>
      <c r="B35" s="213" t="s">
        <v>97</v>
      </c>
      <c r="C35" s="197" t="s">
        <v>45</v>
      </c>
      <c r="D35" s="216">
        <v>1</v>
      </c>
      <c r="E35" s="199"/>
      <c r="F35" s="218">
        <f>+D35*E35</f>
        <v>0</v>
      </c>
      <c r="G35" s="207"/>
    </row>
    <row r="36" spans="1:7" x14ac:dyDescent="0.3">
      <c r="A36" s="214"/>
      <c r="B36" s="213"/>
      <c r="C36" s="215"/>
      <c r="D36" s="216"/>
      <c r="E36" s="217"/>
      <c r="F36" s="218"/>
      <c r="G36" s="219"/>
    </row>
    <row r="37" spans="1:7" x14ac:dyDescent="0.3">
      <c r="A37" s="189">
        <v>6</v>
      </c>
      <c r="B37" s="291" t="s">
        <v>57</v>
      </c>
      <c r="C37" s="292"/>
      <c r="D37" s="292"/>
      <c r="E37" s="292"/>
      <c r="F37" s="293"/>
      <c r="G37" s="190">
        <f>+F39</f>
        <v>0</v>
      </c>
    </row>
    <row r="38" spans="1:7" x14ac:dyDescent="0.3">
      <c r="A38" s="211"/>
      <c r="B38" s="212"/>
      <c r="C38" s="197"/>
      <c r="D38" s="198"/>
      <c r="E38" s="199"/>
      <c r="F38" s="199"/>
      <c r="G38" s="207"/>
    </row>
    <row r="39" spans="1:7" ht="67.2" x14ac:dyDescent="0.3">
      <c r="A39" s="211" t="s">
        <v>58</v>
      </c>
      <c r="B39" s="213" t="s">
        <v>59</v>
      </c>
      <c r="C39" s="197" t="s">
        <v>53</v>
      </c>
      <c r="D39" s="198">
        <v>1</v>
      </c>
      <c r="E39" s="199"/>
      <c r="F39" s="199">
        <f>+D39*E39</f>
        <v>0</v>
      </c>
      <c r="G39" s="207"/>
    </row>
    <row r="40" spans="1:7" ht="15" thickBot="1" x14ac:dyDescent="0.35">
      <c r="A40" s="211"/>
      <c r="B40" s="222"/>
      <c r="C40" s="197"/>
      <c r="D40" s="223"/>
      <c r="E40" s="199"/>
      <c r="F40" s="199"/>
      <c r="G40" s="207"/>
    </row>
    <row r="41" spans="1:7" x14ac:dyDescent="0.3">
      <c r="A41" s="224"/>
      <c r="B41" s="314" t="s">
        <v>60</v>
      </c>
      <c r="C41" s="315"/>
      <c r="D41" s="315"/>
      <c r="E41" s="315"/>
      <c r="F41" s="316"/>
      <c r="G41" s="343">
        <f>+SUM(G10:G40)</f>
        <v>0</v>
      </c>
    </row>
    <row r="42" spans="1:7" ht="15" thickBot="1" x14ac:dyDescent="0.35">
      <c r="A42" s="225"/>
      <c r="B42" s="317"/>
      <c r="C42" s="318"/>
      <c r="D42" s="318"/>
      <c r="E42" s="318"/>
      <c r="F42" s="319"/>
      <c r="G42" s="344"/>
    </row>
  </sheetData>
  <mergeCells count="16">
    <mergeCell ref="B41:F42"/>
    <mergeCell ref="G41:G42"/>
    <mergeCell ref="B10:F10"/>
    <mergeCell ref="B17:F17"/>
    <mergeCell ref="B24:F24"/>
    <mergeCell ref="B28:F28"/>
    <mergeCell ref="B32:F32"/>
    <mergeCell ref="B37:F37"/>
    <mergeCell ref="F4:G4"/>
    <mergeCell ref="F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E58" sqref="E58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6.554687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107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12" customHeight="1" x14ac:dyDescent="0.3">
      <c r="A9" s="302"/>
      <c r="B9" s="303"/>
      <c r="C9" s="303"/>
      <c r="D9" s="303"/>
      <c r="E9" s="303"/>
      <c r="F9" s="303"/>
      <c r="G9" s="304"/>
    </row>
    <row r="10" spans="1:7" x14ac:dyDescent="0.3">
      <c r="A10" s="189">
        <v>1</v>
      </c>
      <c r="B10" s="291" t="s">
        <v>31</v>
      </c>
      <c r="C10" s="292"/>
      <c r="D10" s="292"/>
      <c r="E10" s="292"/>
      <c r="F10" s="293"/>
      <c r="G10" s="190">
        <f>+SUM(F12:F12)</f>
        <v>0</v>
      </c>
    </row>
    <row r="11" spans="1:7" ht="6.9" customHeight="1" x14ac:dyDescent="0.3">
      <c r="A11" s="191"/>
      <c r="B11" s="192"/>
      <c r="C11" s="192"/>
      <c r="D11" s="192"/>
      <c r="E11" s="193"/>
      <c r="F11" s="193"/>
      <c r="G11" s="194"/>
    </row>
    <row r="12" spans="1:7" ht="52.8" x14ac:dyDescent="0.3">
      <c r="A12" s="195" t="s">
        <v>32</v>
      </c>
      <c r="B12" s="196" t="s">
        <v>88</v>
      </c>
      <c r="C12" s="197" t="s">
        <v>45</v>
      </c>
      <c r="D12" s="198">
        <v>6</v>
      </c>
      <c r="E12" s="199"/>
      <c r="F12" s="199">
        <f>D12*E12</f>
        <v>0</v>
      </c>
      <c r="G12" s="200"/>
    </row>
    <row r="13" spans="1:7" ht="6.9" customHeight="1" x14ac:dyDescent="0.3">
      <c r="A13" s="201"/>
      <c r="B13" s="202"/>
      <c r="C13" s="202"/>
      <c r="D13" s="202"/>
      <c r="E13" s="203"/>
      <c r="F13" s="199"/>
      <c r="G13" s="204"/>
    </row>
    <row r="14" spans="1:7" x14ac:dyDescent="0.3">
      <c r="A14" s="189">
        <v>2</v>
      </c>
      <c r="B14" s="291" t="s">
        <v>35</v>
      </c>
      <c r="C14" s="292"/>
      <c r="D14" s="292"/>
      <c r="E14" s="292"/>
      <c r="F14" s="293"/>
      <c r="G14" s="190">
        <f>SUM(F17:F18)</f>
        <v>0</v>
      </c>
    </row>
    <row r="15" spans="1:7" x14ac:dyDescent="0.3">
      <c r="A15" s="191"/>
      <c r="B15" s="192"/>
      <c r="C15" s="192"/>
      <c r="D15" s="192"/>
      <c r="E15" s="193"/>
      <c r="F15" s="193"/>
      <c r="G15" s="194"/>
    </row>
    <row r="16" spans="1:7" ht="92.4" x14ac:dyDescent="0.3">
      <c r="A16" s="195" t="s">
        <v>36</v>
      </c>
      <c r="B16" s="205" t="s">
        <v>37</v>
      </c>
      <c r="C16" s="206"/>
      <c r="D16" s="198"/>
      <c r="E16" s="199"/>
      <c r="F16" s="199"/>
      <c r="G16" s="207"/>
    </row>
    <row r="17" spans="1:7" ht="15.6" x14ac:dyDescent="0.3">
      <c r="A17" s="195" t="s">
        <v>38</v>
      </c>
      <c r="B17" s="205" t="s">
        <v>39</v>
      </c>
      <c r="C17" s="197" t="s">
        <v>34</v>
      </c>
      <c r="D17" s="198">
        <f>0.2*0.4*13.9*2+0.2*0.4*4.7*4</f>
        <v>3.7280000000000011</v>
      </c>
      <c r="E17" s="199"/>
      <c r="F17" s="199">
        <f t="shared" ref="F17:F18" si="0">D17*E17</f>
        <v>0</v>
      </c>
      <c r="G17" s="207"/>
    </row>
    <row r="18" spans="1:7" ht="15.6" x14ac:dyDescent="0.3">
      <c r="A18" s="195" t="s">
        <v>40</v>
      </c>
      <c r="B18" s="205" t="s">
        <v>41</v>
      </c>
      <c r="C18" s="197" t="s">
        <v>34</v>
      </c>
      <c r="D18" s="198">
        <f>+(18.98+17.09+20.26)*0.15</f>
        <v>8.4494999999999987</v>
      </c>
      <c r="E18" s="199"/>
      <c r="F18" s="199">
        <f t="shared" si="0"/>
        <v>0</v>
      </c>
      <c r="G18" s="207"/>
    </row>
    <row r="19" spans="1:7" ht="6.9" customHeight="1" x14ac:dyDescent="0.3">
      <c r="A19" s="201"/>
      <c r="B19" s="208"/>
      <c r="C19" s="208"/>
      <c r="D19" s="208"/>
      <c r="E19" s="209"/>
      <c r="F19" s="209"/>
      <c r="G19" s="210"/>
    </row>
    <row r="20" spans="1:7" x14ac:dyDescent="0.3">
      <c r="A20" s="189">
        <v>3</v>
      </c>
      <c r="B20" s="291" t="s">
        <v>64</v>
      </c>
      <c r="C20" s="292"/>
      <c r="D20" s="292"/>
      <c r="E20" s="292"/>
      <c r="F20" s="293"/>
      <c r="G20" s="190">
        <f>+SUM(F22:F23)</f>
        <v>0</v>
      </c>
    </row>
    <row r="21" spans="1:7" ht="6.9" customHeight="1" x14ac:dyDescent="0.3">
      <c r="A21" s="191"/>
      <c r="B21" s="192"/>
      <c r="C21" s="192"/>
      <c r="D21" s="192"/>
      <c r="E21" s="193"/>
      <c r="F21" s="193"/>
      <c r="G21" s="194"/>
    </row>
    <row r="22" spans="1:7" ht="66" x14ac:dyDescent="0.3">
      <c r="A22" s="211" t="s">
        <v>43</v>
      </c>
      <c r="B22" s="212" t="s">
        <v>89</v>
      </c>
      <c r="C22" s="197" t="s">
        <v>45</v>
      </c>
      <c r="D22" s="198">
        <f>2.6*2.85+10</f>
        <v>17.41</v>
      </c>
      <c r="E22" s="199"/>
      <c r="F22" s="199">
        <f t="shared" ref="F22:F23" si="1">D22*E22</f>
        <v>0</v>
      </c>
      <c r="G22" s="207"/>
    </row>
    <row r="23" spans="1:7" ht="81.599999999999994" x14ac:dyDescent="0.3">
      <c r="A23" s="211" t="s">
        <v>46</v>
      </c>
      <c r="B23" s="205" t="s">
        <v>65</v>
      </c>
      <c r="C23" s="197" t="s">
        <v>45</v>
      </c>
      <c r="D23" s="198">
        <v>9</v>
      </c>
      <c r="E23" s="199"/>
      <c r="F23" s="199">
        <f t="shared" si="1"/>
        <v>0</v>
      </c>
      <c r="G23" s="207"/>
    </row>
    <row r="24" spans="1:7" x14ac:dyDescent="0.3">
      <c r="A24" s="211"/>
      <c r="B24" s="212"/>
      <c r="C24" s="197"/>
      <c r="D24" s="198"/>
      <c r="E24" s="199"/>
      <c r="F24" s="199"/>
      <c r="G24" s="207"/>
    </row>
    <row r="25" spans="1:7" x14ac:dyDescent="0.3">
      <c r="A25" s="189">
        <v>4</v>
      </c>
      <c r="B25" s="291" t="s">
        <v>66</v>
      </c>
      <c r="C25" s="292"/>
      <c r="D25" s="292"/>
      <c r="E25" s="292"/>
      <c r="F25" s="293"/>
      <c r="G25" s="190">
        <f>SUM(F27:F29)</f>
        <v>0</v>
      </c>
    </row>
    <row r="26" spans="1:7" x14ac:dyDescent="0.3">
      <c r="A26" s="211"/>
      <c r="B26" s="212"/>
      <c r="C26" s="197"/>
      <c r="D26" s="198"/>
      <c r="E26" s="199"/>
      <c r="F26" s="199"/>
      <c r="G26" s="207"/>
    </row>
    <row r="27" spans="1:7" ht="66" x14ac:dyDescent="0.3">
      <c r="A27" s="211" t="s">
        <v>51</v>
      </c>
      <c r="B27" s="212" t="s">
        <v>44</v>
      </c>
      <c r="C27" s="197" t="s">
        <v>45</v>
      </c>
      <c r="D27" s="198">
        <v>128</v>
      </c>
      <c r="E27" s="199"/>
      <c r="F27" s="199">
        <f>+D27*E27</f>
        <v>0</v>
      </c>
      <c r="G27" s="207"/>
    </row>
    <row r="28" spans="1:7" ht="39.6" x14ac:dyDescent="0.3">
      <c r="A28" s="211" t="s">
        <v>67</v>
      </c>
      <c r="B28" s="213" t="s">
        <v>108</v>
      </c>
      <c r="C28" s="197" t="s">
        <v>45</v>
      </c>
      <c r="D28" s="198">
        <f>12*3</f>
        <v>36</v>
      </c>
      <c r="E28" s="199"/>
      <c r="F28" s="199">
        <f>+D28*E28</f>
        <v>0</v>
      </c>
      <c r="G28" s="207"/>
    </row>
    <row r="29" spans="1:7" ht="52.8" x14ac:dyDescent="0.3">
      <c r="A29" s="211" t="s">
        <v>109</v>
      </c>
      <c r="B29" s="212" t="s">
        <v>91</v>
      </c>
      <c r="C29" s="197" t="s">
        <v>45</v>
      </c>
      <c r="D29" s="198">
        <f>+(18.98+17.09)</f>
        <v>36.07</v>
      </c>
      <c r="E29" s="199"/>
      <c r="F29" s="199">
        <f>+D29*E29</f>
        <v>0</v>
      </c>
      <c r="G29" s="207"/>
    </row>
    <row r="30" spans="1:7" x14ac:dyDescent="0.3">
      <c r="A30" s="211"/>
      <c r="B30" s="212"/>
      <c r="C30" s="197"/>
      <c r="D30" s="198"/>
      <c r="E30" s="199"/>
      <c r="F30" s="199"/>
      <c r="G30" s="207"/>
    </row>
    <row r="31" spans="1:7" x14ac:dyDescent="0.3">
      <c r="A31" s="189">
        <v>5</v>
      </c>
      <c r="B31" s="291" t="s">
        <v>69</v>
      </c>
      <c r="C31" s="292"/>
      <c r="D31" s="292"/>
      <c r="E31" s="292"/>
      <c r="F31" s="293"/>
      <c r="G31" s="190">
        <f>+SUM(F33:F36)</f>
        <v>0</v>
      </c>
    </row>
    <row r="32" spans="1:7" ht="6.9" customHeight="1" x14ac:dyDescent="0.3">
      <c r="A32" s="211"/>
      <c r="B32" s="212"/>
      <c r="C32" s="220"/>
      <c r="D32" s="198"/>
      <c r="E32" s="199"/>
      <c r="F32" s="199"/>
      <c r="G32" s="207"/>
    </row>
    <row r="33" spans="1:7" x14ac:dyDescent="0.3">
      <c r="A33" s="211" t="s">
        <v>55</v>
      </c>
      <c r="B33" s="226" t="s">
        <v>70</v>
      </c>
      <c r="C33" s="220"/>
      <c r="D33" s="198"/>
      <c r="E33" s="199"/>
      <c r="F33" s="199"/>
      <c r="G33" s="207"/>
    </row>
    <row r="34" spans="1:7" ht="66" x14ac:dyDescent="0.3">
      <c r="A34" s="211" t="s">
        <v>71</v>
      </c>
      <c r="B34" s="212" t="s">
        <v>72</v>
      </c>
      <c r="C34" s="197" t="s">
        <v>53</v>
      </c>
      <c r="D34" s="198">
        <v>1</v>
      </c>
      <c r="E34" s="199"/>
      <c r="F34" s="199"/>
      <c r="G34" s="207"/>
    </row>
    <row r="35" spans="1:7" ht="66" x14ac:dyDescent="0.3">
      <c r="A35" s="211" t="s">
        <v>73</v>
      </c>
      <c r="B35" s="212" t="s">
        <v>74</v>
      </c>
      <c r="C35" s="197" t="s">
        <v>53</v>
      </c>
      <c r="D35" s="198">
        <v>1</v>
      </c>
      <c r="E35" s="199"/>
      <c r="F35" s="199"/>
      <c r="G35" s="207"/>
    </row>
    <row r="36" spans="1:7" ht="66" x14ac:dyDescent="0.3">
      <c r="A36" s="211" t="s">
        <v>75</v>
      </c>
      <c r="B36" s="212" t="s">
        <v>76</v>
      </c>
      <c r="C36" s="197" t="s">
        <v>53</v>
      </c>
      <c r="D36" s="198">
        <v>1</v>
      </c>
      <c r="E36" s="199"/>
      <c r="F36" s="199"/>
      <c r="G36" s="207"/>
    </row>
    <row r="37" spans="1:7" ht="6.9" customHeight="1" x14ac:dyDescent="0.3">
      <c r="A37" s="214"/>
      <c r="B37" s="213"/>
      <c r="C37" s="215"/>
      <c r="D37" s="216"/>
      <c r="E37" s="217"/>
      <c r="F37" s="218"/>
      <c r="G37" s="219"/>
    </row>
    <row r="38" spans="1:7" x14ac:dyDescent="0.3">
      <c r="A38" s="189">
        <v>6</v>
      </c>
      <c r="B38" s="291" t="s">
        <v>92</v>
      </c>
      <c r="C38" s="292"/>
      <c r="D38" s="292"/>
      <c r="E38" s="292"/>
      <c r="F38" s="293"/>
      <c r="G38" s="190">
        <f>+SUM(F40)</f>
        <v>0</v>
      </c>
    </row>
    <row r="39" spans="1:7" x14ac:dyDescent="0.3">
      <c r="A39" s="211"/>
      <c r="B39" s="212"/>
      <c r="C39" s="220"/>
      <c r="D39" s="198"/>
      <c r="E39" s="199"/>
      <c r="F39" s="199"/>
      <c r="G39" s="207"/>
    </row>
    <row r="40" spans="1:7" ht="52.8" x14ac:dyDescent="0.3">
      <c r="A40" s="211" t="s">
        <v>58</v>
      </c>
      <c r="B40" s="212" t="s">
        <v>52</v>
      </c>
      <c r="C40" s="197" t="s">
        <v>53</v>
      </c>
      <c r="D40" s="198">
        <v>1</v>
      </c>
      <c r="E40" s="199"/>
      <c r="F40" s="199">
        <f t="shared" ref="F40" si="2">D40*E40</f>
        <v>0</v>
      </c>
      <c r="G40" s="207"/>
    </row>
    <row r="41" spans="1:7" x14ac:dyDescent="0.3">
      <c r="A41" s="211"/>
      <c r="B41" s="212"/>
      <c r="C41" s="197"/>
      <c r="D41" s="198"/>
      <c r="E41" s="199"/>
      <c r="F41" s="199"/>
      <c r="G41" s="207"/>
    </row>
    <row r="42" spans="1:7" x14ac:dyDescent="0.3">
      <c r="A42" s="189">
        <v>7</v>
      </c>
      <c r="B42" s="291" t="s">
        <v>93</v>
      </c>
      <c r="C42" s="292"/>
      <c r="D42" s="292"/>
      <c r="E42" s="292"/>
      <c r="F42" s="293"/>
      <c r="G42" s="190">
        <f>SUM(F44:F44)</f>
        <v>0</v>
      </c>
    </row>
    <row r="43" spans="1:7" x14ac:dyDescent="0.3">
      <c r="A43" s="214"/>
      <c r="B43" s="213"/>
      <c r="C43" s="221"/>
      <c r="D43" s="216"/>
      <c r="E43" s="217"/>
      <c r="F43" s="218"/>
      <c r="G43" s="219"/>
    </row>
    <row r="44" spans="1:7" ht="52.8" x14ac:dyDescent="0.3">
      <c r="A44" s="214" t="s">
        <v>79</v>
      </c>
      <c r="B44" s="213" t="s">
        <v>82</v>
      </c>
      <c r="C44" s="221" t="s">
        <v>94</v>
      </c>
      <c r="D44" s="216">
        <v>1</v>
      </c>
      <c r="E44" s="217"/>
      <c r="F44" s="218">
        <f t="shared" ref="F44" si="3">+D44*E44</f>
        <v>0</v>
      </c>
      <c r="G44" s="219"/>
    </row>
    <row r="45" spans="1:7" x14ac:dyDescent="0.3">
      <c r="A45" s="211"/>
      <c r="B45" s="212"/>
      <c r="C45" s="197"/>
      <c r="D45" s="198"/>
      <c r="E45" s="199"/>
      <c r="F45" s="199"/>
      <c r="G45" s="207"/>
    </row>
    <row r="46" spans="1:7" x14ac:dyDescent="0.3">
      <c r="A46" s="189">
        <v>8</v>
      </c>
      <c r="B46" s="291" t="s">
        <v>95</v>
      </c>
      <c r="C46" s="292"/>
      <c r="D46" s="292"/>
      <c r="E46" s="292"/>
      <c r="F46" s="293"/>
      <c r="G46" s="190">
        <f>SUM(F48:F49)</f>
        <v>0</v>
      </c>
    </row>
    <row r="47" spans="1:7" x14ac:dyDescent="0.3">
      <c r="A47" s="214"/>
      <c r="B47" s="213"/>
      <c r="C47" s="221"/>
      <c r="D47" s="216"/>
      <c r="E47" s="217"/>
      <c r="F47" s="218"/>
      <c r="G47" s="219"/>
    </row>
    <row r="48" spans="1:7" ht="66" x14ac:dyDescent="0.3">
      <c r="A48" s="214" t="s">
        <v>81</v>
      </c>
      <c r="B48" s="213" t="s">
        <v>56</v>
      </c>
      <c r="C48" s="221" t="s">
        <v>53</v>
      </c>
      <c r="D48" s="216">
        <v>1</v>
      </c>
      <c r="E48" s="217"/>
      <c r="F48" s="218">
        <f>+D48*E48</f>
        <v>0</v>
      </c>
      <c r="G48" s="219"/>
    </row>
    <row r="49" spans="1:7" ht="52.8" x14ac:dyDescent="0.3">
      <c r="A49" s="214" t="s">
        <v>96</v>
      </c>
      <c r="B49" s="213" t="s">
        <v>97</v>
      </c>
      <c r="C49" s="197" t="s">
        <v>45</v>
      </c>
      <c r="D49" s="216">
        <v>1</v>
      </c>
      <c r="E49" s="199"/>
      <c r="F49" s="218">
        <f>+D49*E49</f>
        <v>0</v>
      </c>
      <c r="G49" s="207"/>
    </row>
    <row r="50" spans="1:7" x14ac:dyDescent="0.3">
      <c r="A50" s="214"/>
      <c r="B50" s="213"/>
      <c r="C50" s="215"/>
      <c r="D50" s="216"/>
      <c r="E50" s="217"/>
      <c r="F50" s="218"/>
      <c r="G50" s="219"/>
    </row>
    <row r="51" spans="1:7" x14ac:dyDescent="0.3">
      <c r="A51" s="189">
        <v>9</v>
      </c>
      <c r="B51" s="291" t="s">
        <v>84</v>
      </c>
      <c r="C51" s="292"/>
      <c r="D51" s="292"/>
      <c r="E51" s="292"/>
      <c r="F51" s="293"/>
      <c r="G51" s="190">
        <f>+F53</f>
        <v>0</v>
      </c>
    </row>
    <row r="52" spans="1:7" x14ac:dyDescent="0.3">
      <c r="A52" s="211"/>
      <c r="B52" s="212"/>
      <c r="C52" s="197"/>
      <c r="D52" s="198"/>
      <c r="E52" s="199"/>
      <c r="F52" s="199"/>
      <c r="G52" s="207"/>
    </row>
    <row r="53" spans="1:7" ht="67.2" x14ac:dyDescent="0.3">
      <c r="A53" s="211" t="s">
        <v>85</v>
      </c>
      <c r="B53" s="213" t="s">
        <v>59</v>
      </c>
      <c r="C53" s="197" t="s">
        <v>53</v>
      </c>
      <c r="D53" s="198">
        <v>1</v>
      </c>
      <c r="E53" s="199"/>
      <c r="F53" s="199">
        <f>+D53*E53</f>
        <v>0</v>
      </c>
      <c r="G53" s="207"/>
    </row>
    <row r="54" spans="1:7" ht="15" thickBot="1" x14ac:dyDescent="0.35">
      <c r="A54" s="211"/>
      <c r="B54" s="222"/>
      <c r="C54" s="197"/>
      <c r="D54" s="223"/>
      <c r="E54" s="199"/>
      <c r="F54" s="199"/>
      <c r="G54" s="207"/>
    </row>
    <row r="55" spans="1:7" x14ac:dyDescent="0.3">
      <c r="A55" s="345"/>
      <c r="B55" s="314" t="s">
        <v>60</v>
      </c>
      <c r="C55" s="315"/>
      <c r="D55" s="315"/>
      <c r="E55" s="315"/>
      <c r="F55" s="316"/>
      <c r="G55" s="343">
        <f>+SUM(G10:G54)</f>
        <v>0</v>
      </c>
    </row>
    <row r="56" spans="1:7" ht="15" thickBot="1" x14ac:dyDescent="0.35">
      <c r="A56" s="346"/>
      <c r="B56" s="317"/>
      <c r="C56" s="318"/>
      <c r="D56" s="318"/>
      <c r="E56" s="318"/>
      <c r="F56" s="319"/>
      <c r="G56" s="344"/>
    </row>
  </sheetData>
  <mergeCells count="21">
    <mergeCell ref="A55:A56"/>
    <mergeCell ref="B55:F56"/>
    <mergeCell ref="A9:G9"/>
    <mergeCell ref="B10:F10"/>
    <mergeCell ref="B14:F14"/>
    <mergeCell ref="B20:F20"/>
    <mergeCell ref="B25:F25"/>
    <mergeCell ref="B31:F31"/>
    <mergeCell ref="G55:G56"/>
    <mergeCell ref="B38:F38"/>
    <mergeCell ref="B42:F42"/>
    <mergeCell ref="B46:F46"/>
    <mergeCell ref="B51:F51"/>
    <mergeCell ref="F4:G4"/>
    <mergeCell ref="F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3"/>
  <sheetViews>
    <sheetView tabSelected="1" zoomScaleNormal="100" zoomScaleSheetLayoutView="90" workbookViewId="0">
      <selection activeCell="A42" sqref="A42:F42"/>
    </sheetView>
  </sheetViews>
  <sheetFormatPr defaultColWidth="8.6640625" defaultRowHeight="14.4" x14ac:dyDescent="0.3"/>
  <cols>
    <col min="1" max="1" width="6.6640625" style="387" customWidth="1"/>
    <col min="2" max="2" width="39.6640625" style="388" customWidth="1"/>
    <col min="3" max="3" width="4.6640625" style="388" customWidth="1"/>
    <col min="4" max="4" width="6.5546875" style="388" customWidth="1"/>
    <col min="5" max="5" width="10.109375" style="389" customWidth="1"/>
    <col min="6" max="6" width="13.44140625" style="389" customWidth="1"/>
  </cols>
  <sheetData>
    <row r="3" spans="1:6" ht="15.6" x14ac:dyDescent="0.3">
      <c r="A3" s="347" t="s">
        <v>222</v>
      </c>
      <c r="B3" s="347"/>
      <c r="C3" s="347"/>
      <c r="D3" s="347"/>
      <c r="E3" s="347"/>
      <c r="F3" s="347"/>
    </row>
    <row r="5" spans="1:6" ht="21" customHeight="1" x14ac:dyDescent="0.3">
      <c r="A5" s="347" t="s">
        <v>225</v>
      </c>
      <c r="B5" s="347"/>
      <c r="C5" s="347"/>
      <c r="D5" s="347"/>
      <c r="E5" s="347"/>
      <c r="F5" s="347"/>
    </row>
    <row r="6" spans="1:6" ht="15" thickBot="1" x14ac:dyDescent="0.35">
      <c r="A6" s="348"/>
      <c r="B6" s="349"/>
      <c r="C6" s="348"/>
      <c r="D6" s="348"/>
      <c r="E6" s="350"/>
      <c r="F6" s="350"/>
    </row>
    <row r="7" spans="1:6" ht="15" thickTop="1" x14ac:dyDescent="0.3">
      <c r="A7" s="351" t="s">
        <v>20</v>
      </c>
      <c r="B7" s="352" t="s">
        <v>223</v>
      </c>
      <c r="C7" s="352"/>
      <c r="D7" s="352"/>
      <c r="E7" s="352"/>
      <c r="F7" s="353" t="s">
        <v>224</v>
      </c>
    </row>
    <row r="8" spans="1:6" x14ac:dyDescent="0.3">
      <c r="A8" s="354"/>
      <c r="B8" s="355"/>
      <c r="C8" s="355"/>
      <c r="D8" s="355"/>
      <c r="E8" s="355"/>
      <c r="F8" s="356"/>
    </row>
    <row r="9" spans="1:6" ht="12" customHeight="1" x14ac:dyDescent="0.3">
      <c r="A9" s="357"/>
      <c r="B9" s="358"/>
      <c r="C9" s="358"/>
      <c r="D9" s="358"/>
      <c r="E9" s="358"/>
      <c r="F9" s="359"/>
    </row>
    <row r="10" spans="1:6" ht="15" customHeight="1" x14ac:dyDescent="0.3">
      <c r="A10" s="360">
        <v>1</v>
      </c>
      <c r="B10" s="361" t="str">
        <f>'Lista de Casas'!A2</f>
        <v>Cecília Lopes Tavares</v>
      </c>
      <c r="C10" s="361"/>
      <c r="D10" s="361"/>
      <c r="E10" s="361"/>
      <c r="F10" s="362"/>
    </row>
    <row r="11" spans="1:6" ht="15.6" x14ac:dyDescent="0.3">
      <c r="A11" s="363"/>
      <c r="B11" s="364"/>
      <c r="C11" s="364"/>
      <c r="D11" s="364"/>
      <c r="E11" s="364"/>
      <c r="F11" s="365"/>
    </row>
    <row r="12" spans="1:6" ht="15.6" x14ac:dyDescent="0.3">
      <c r="A12" s="360">
        <v>2</v>
      </c>
      <c r="B12" s="361" t="str">
        <f>'Lista de Casas'!A3</f>
        <v>Augusta Garcia Moreno</v>
      </c>
      <c r="C12" s="361"/>
      <c r="D12" s="361"/>
      <c r="E12" s="361"/>
      <c r="F12" s="362"/>
    </row>
    <row r="13" spans="1:6" ht="15.6" x14ac:dyDescent="0.3">
      <c r="A13" s="363"/>
      <c r="B13" s="364"/>
      <c r="C13" s="364"/>
      <c r="D13" s="364"/>
      <c r="E13" s="364"/>
      <c r="F13" s="365"/>
    </row>
    <row r="14" spans="1:6" ht="15.6" x14ac:dyDescent="0.3">
      <c r="A14" s="360">
        <v>3</v>
      </c>
      <c r="B14" s="361" t="str">
        <f>'Lista de Casas'!A4</f>
        <v>Raquel Fortes Monteiro</v>
      </c>
      <c r="C14" s="361"/>
      <c r="D14" s="361"/>
      <c r="E14" s="361"/>
      <c r="F14" s="362"/>
    </row>
    <row r="15" spans="1:6" ht="15.6" x14ac:dyDescent="0.3">
      <c r="A15" s="363"/>
      <c r="B15" s="364"/>
      <c r="C15" s="364"/>
      <c r="D15" s="364"/>
      <c r="E15" s="364"/>
      <c r="F15" s="365"/>
    </row>
    <row r="16" spans="1:6" ht="15.6" x14ac:dyDescent="0.3">
      <c r="A16" s="360">
        <v>4</v>
      </c>
      <c r="B16" s="361" t="str">
        <f>'Lista de Casas'!A5</f>
        <v>Ostelinda Duarte Lopes</v>
      </c>
      <c r="C16" s="361"/>
      <c r="D16" s="361"/>
      <c r="E16" s="361"/>
      <c r="F16" s="362"/>
    </row>
    <row r="17" spans="1:6" ht="15.6" x14ac:dyDescent="0.3">
      <c r="A17" s="363"/>
      <c r="B17" s="364"/>
      <c r="C17" s="364"/>
      <c r="D17" s="364"/>
      <c r="E17" s="364"/>
      <c r="F17" s="365"/>
    </row>
    <row r="18" spans="1:6" ht="15.6" x14ac:dyDescent="0.3">
      <c r="A18" s="360">
        <v>5</v>
      </c>
      <c r="B18" s="361" t="str">
        <f>'Lista de Casas'!A6</f>
        <v>Aleida Morreno Barros</v>
      </c>
      <c r="C18" s="361"/>
      <c r="D18" s="361"/>
      <c r="E18" s="361"/>
      <c r="F18" s="362"/>
    </row>
    <row r="19" spans="1:6" ht="15.6" x14ac:dyDescent="0.3">
      <c r="A19" s="363"/>
      <c r="B19" s="364"/>
      <c r="C19" s="364"/>
      <c r="D19" s="364"/>
      <c r="E19" s="364"/>
      <c r="F19" s="365"/>
    </row>
    <row r="20" spans="1:6" ht="15.6" x14ac:dyDescent="0.3">
      <c r="A20" s="360">
        <v>6</v>
      </c>
      <c r="B20" s="361" t="str">
        <f>'Lista de Casas'!A7</f>
        <v>Cecilia Gomes</v>
      </c>
      <c r="C20" s="361"/>
      <c r="D20" s="361"/>
      <c r="E20" s="361"/>
      <c r="F20" s="362"/>
    </row>
    <row r="21" spans="1:6" ht="15.6" x14ac:dyDescent="0.3">
      <c r="A21" s="363"/>
      <c r="B21" s="364"/>
      <c r="C21" s="364"/>
      <c r="D21" s="364"/>
      <c r="E21" s="364"/>
      <c r="F21" s="365"/>
    </row>
    <row r="22" spans="1:6" ht="15.6" x14ac:dyDescent="0.3">
      <c r="A22" s="360">
        <v>7</v>
      </c>
      <c r="B22" s="361" t="str">
        <f>'Lista de Casas'!A8</f>
        <v>Felismina Martins Tavares</v>
      </c>
      <c r="C22" s="361"/>
      <c r="D22" s="361"/>
      <c r="E22" s="361"/>
      <c r="F22" s="362"/>
    </row>
    <row r="23" spans="1:6" ht="15.6" x14ac:dyDescent="0.3">
      <c r="A23" s="363"/>
      <c r="B23" s="364"/>
      <c r="C23" s="364"/>
      <c r="D23" s="364"/>
      <c r="E23" s="364"/>
      <c r="F23" s="365"/>
    </row>
    <row r="24" spans="1:6" ht="15.6" x14ac:dyDescent="0.3">
      <c r="A24" s="360">
        <v>8</v>
      </c>
      <c r="B24" s="361" t="str">
        <f>'Lista de Casas'!A9</f>
        <v>Indira Almeida Tavares</v>
      </c>
      <c r="C24" s="361"/>
      <c r="D24" s="361"/>
      <c r="E24" s="361"/>
      <c r="F24" s="362"/>
    </row>
    <row r="25" spans="1:6" ht="15.6" x14ac:dyDescent="0.3">
      <c r="A25" s="363"/>
      <c r="B25" s="364"/>
      <c r="C25" s="364"/>
      <c r="D25" s="364"/>
      <c r="E25" s="364"/>
      <c r="F25" s="365"/>
    </row>
    <row r="26" spans="1:6" ht="15.6" x14ac:dyDescent="0.3">
      <c r="A26" s="360">
        <v>9</v>
      </c>
      <c r="B26" s="361" t="str">
        <f>'Lista de Casas'!A10</f>
        <v>Audilia Lopes Dos Santos</v>
      </c>
      <c r="C26" s="361"/>
      <c r="D26" s="361"/>
      <c r="E26" s="361"/>
      <c r="F26" s="362"/>
    </row>
    <row r="27" spans="1:6" ht="15.6" x14ac:dyDescent="0.3">
      <c r="A27" s="363"/>
      <c r="B27" s="364"/>
      <c r="C27" s="364"/>
      <c r="D27" s="364"/>
      <c r="E27" s="364"/>
      <c r="F27" s="365"/>
    </row>
    <row r="28" spans="1:6" ht="15.6" x14ac:dyDescent="0.3">
      <c r="A28" s="360">
        <v>10</v>
      </c>
      <c r="B28" s="361" t="str">
        <f>'Lista de Casas'!A11</f>
        <v>Isa Maria Tavares Semedo</v>
      </c>
      <c r="C28" s="361"/>
      <c r="D28" s="361"/>
      <c r="E28" s="361"/>
      <c r="F28" s="362"/>
    </row>
    <row r="29" spans="1:6" ht="15.6" x14ac:dyDescent="0.3">
      <c r="A29" s="363"/>
      <c r="B29" s="364"/>
      <c r="C29" s="364"/>
      <c r="D29" s="364"/>
      <c r="E29" s="364"/>
      <c r="F29" s="365"/>
    </row>
    <row r="30" spans="1:6" ht="15.6" x14ac:dyDescent="0.3">
      <c r="A30" s="360">
        <v>11</v>
      </c>
      <c r="B30" s="361" t="str">
        <f>'Lista de Casas'!A12</f>
        <v>Genoveva Lopes</v>
      </c>
      <c r="C30" s="361"/>
      <c r="D30" s="361"/>
      <c r="E30" s="361"/>
      <c r="F30" s="362"/>
    </row>
    <row r="31" spans="1:6" ht="15.6" x14ac:dyDescent="0.3">
      <c r="A31" s="363"/>
      <c r="B31" s="364"/>
      <c r="C31" s="364"/>
      <c r="D31" s="364"/>
      <c r="E31" s="364"/>
      <c r="F31" s="365"/>
    </row>
    <row r="32" spans="1:6" ht="15.6" x14ac:dyDescent="0.3">
      <c r="A32" s="360">
        <v>12</v>
      </c>
      <c r="B32" s="361" t="str">
        <f>'Lista de Casas'!A13</f>
        <v>Elisandra Gomes</v>
      </c>
      <c r="C32" s="361"/>
      <c r="D32" s="361"/>
      <c r="E32" s="361"/>
      <c r="F32" s="362"/>
    </row>
    <row r="33" spans="1:7" ht="16.2" thickBot="1" x14ac:dyDescent="0.35">
      <c r="A33" s="363"/>
      <c r="B33" s="364"/>
      <c r="C33" s="364"/>
      <c r="D33" s="364"/>
      <c r="E33" s="364"/>
      <c r="F33" s="365"/>
    </row>
    <row r="34" spans="1:7" ht="15" thickBot="1" x14ac:dyDescent="0.35">
      <c r="A34" s="366" t="s">
        <v>60</v>
      </c>
      <c r="B34" s="367"/>
      <c r="C34" s="367"/>
      <c r="D34" s="367"/>
      <c r="E34" s="367"/>
      <c r="F34" s="368">
        <f>+F10+F12+F14+F16+F18+F20+F22+F28+F30</f>
        <v>0</v>
      </c>
    </row>
    <row r="35" spans="1:7" ht="15" thickBot="1" x14ac:dyDescent="0.35">
      <c r="A35" s="369"/>
      <c r="B35" s="370"/>
      <c r="C35" s="370"/>
      <c r="D35" s="370"/>
      <c r="E35" s="370"/>
      <c r="F35" s="371"/>
    </row>
    <row r="36" spans="1:7" ht="16.2" thickTop="1" x14ac:dyDescent="0.3">
      <c r="A36" s="372"/>
      <c r="B36" s="373"/>
      <c r="C36" s="373"/>
      <c r="D36" s="373"/>
      <c r="E36" s="374"/>
      <c r="F36" s="374"/>
    </row>
    <row r="37" spans="1:7" ht="15.6" x14ac:dyDescent="0.3">
      <c r="A37" s="375"/>
      <c r="B37" s="375"/>
      <c r="C37" s="373"/>
      <c r="D37" s="373"/>
      <c r="E37" s="376"/>
      <c r="F37" s="376"/>
    </row>
    <row r="38" spans="1:7" ht="15.6" x14ac:dyDescent="0.3">
      <c r="A38" s="377"/>
      <c r="B38" s="377"/>
      <c r="C38" s="373"/>
      <c r="D38" s="373"/>
      <c r="E38" s="378"/>
      <c r="F38" s="378"/>
    </row>
    <row r="39" spans="1:7" ht="15.6" x14ac:dyDescent="0.3">
      <c r="A39" s="379"/>
      <c r="B39" s="379"/>
      <c r="C39" s="373"/>
      <c r="D39" s="373"/>
      <c r="E39" s="378"/>
      <c r="F39" s="378"/>
    </row>
    <row r="40" spans="1:7" ht="15.6" x14ac:dyDescent="0.3">
      <c r="A40" s="380"/>
      <c r="B40" s="381"/>
      <c r="C40" s="381"/>
      <c r="D40" s="381"/>
      <c r="E40" s="382"/>
      <c r="F40" s="382"/>
    </row>
    <row r="41" spans="1:7" x14ac:dyDescent="0.3">
      <c r="A41" s="383"/>
      <c r="B41" s="383"/>
      <c r="C41" s="383"/>
      <c r="D41" s="383"/>
      <c r="E41" s="383"/>
      <c r="F41" s="383"/>
      <c r="G41" s="384"/>
    </row>
    <row r="42" spans="1:7" x14ac:dyDescent="0.3">
      <c r="A42" s="385"/>
      <c r="B42" s="385"/>
      <c r="C42" s="385"/>
      <c r="D42" s="385"/>
      <c r="E42" s="385"/>
      <c r="F42" s="385"/>
      <c r="G42" s="386"/>
    </row>
    <row r="43" spans="1:7" x14ac:dyDescent="0.3">
      <c r="A43" s="386"/>
      <c r="B43" s="386"/>
      <c r="C43" s="386"/>
      <c r="D43" s="386"/>
      <c r="E43" s="386"/>
      <c r="F43" s="386"/>
      <c r="G43" s="386"/>
    </row>
  </sheetData>
  <mergeCells count="37">
    <mergeCell ref="A41:F41"/>
    <mergeCell ref="A42:F42"/>
    <mergeCell ref="B24:E24"/>
    <mergeCell ref="A25:F25"/>
    <mergeCell ref="B26:E26"/>
    <mergeCell ref="A27:F27"/>
    <mergeCell ref="A33:F33"/>
    <mergeCell ref="B32:E32"/>
    <mergeCell ref="A34:E35"/>
    <mergeCell ref="F34:F35"/>
    <mergeCell ref="A37:B37"/>
    <mergeCell ref="E37:F37"/>
    <mergeCell ref="A39:B39"/>
    <mergeCell ref="B22:E22"/>
    <mergeCell ref="A23:F23"/>
    <mergeCell ref="B28:E28"/>
    <mergeCell ref="A29:F29"/>
    <mergeCell ref="B30:E30"/>
    <mergeCell ref="A31:F31"/>
    <mergeCell ref="B16:E16"/>
    <mergeCell ref="A17:F17"/>
    <mergeCell ref="B18:E18"/>
    <mergeCell ref="A19:F19"/>
    <mergeCell ref="B20:E20"/>
    <mergeCell ref="A21:F21"/>
    <mergeCell ref="B10:E10"/>
    <mergeCell ref="A11:F11"/>
    <mergeCell ref="B12:E12"/>
    <mergeCell ref="A13:F13"/>
    <mergeCell ref="B14:E14"/>
    <mergeCell ref="A15:F15"/>
    <mergeCell ref="A3:F3"/>
    <mergeCell ref="A5:F5"/>
    <mergeCell ref="A7:A8"/>
    <mergeCell ref="B7:E8"/>
    <mergeCell ref="F7:F8"/>
    <mergeCell ref="A9:F9"/>
  </mergeCells>
  <pageMargins left="0.51181102362204722" right="0.51181102362204722" top="0.78740157480314965" bottom="0.59055118110236227" header="0.31496062992125984" footer="0.39370078740157483"/>
  <pageSetup paperSize="9" scale="105" orientation="portrait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E52" sqref="E52"/>
    </sheetView>
  </sheetViews>
  <sheetFormatPr defaultRowHeight="14.4" x14ac:dyDescent="0.3"/>
  <cols>
    <col min="1" max="1" width="7.21875" bestFit="1" customWidth="1"/>
    <col min="2" max="2" width="37.77734375" bestFit="1" customWidth="1"/>
    <col min="3" max="3" width="3.77734375" bestFit="1" customWidth="1"/>
    <col min="4" max="4" width="7.77734375" bestFit="1" customWidth="1"/>
    <col min="5" max="5" width="12.77734375" customWidth="1"/>
    <col min="6" max="6" width="11.44140625" bestFit="1" customWidth="1"/>
    <col min="7" max="7" width="12.21875" customWidth="1"/>
  </cols>
  <sheetData>
    <row r="1" spans="1:7" x14ac:dyDescent="0.3">
      <c r="A1" s="1" t="s">
        <v>14</v>
      </c>
      <c r="B1" s="254" t="s">
        <v>15</v>
      </c>
      <c r="C1" s="254"/>
      <c r="D1" s="254"/>
      <c r="E1" s="254"/>
      <c r="F1" s="2"/>
      <c r="G1" s="3"/>
    </row>
    <row r="2" spans="1:7" x14ac:dyDescent="0.3">
      <c r="A2" s="1" t="s">
        <v>16</v>
      </c>
      <c r="B2" s="4"/>
      <c r="C2" s="3"/>
      <c r="D2" s="3"/>
      <c r="E2" s="5"/>
      <c r="F2" s="255"/>
      <c r="G2" s="255"/>
    </row>
    <row r="3" spans="1:7" x14ac:dyDescent="0.3">
      <c r="A3" s="1" t="s">
        <v>17</v>
      </c>
      <c r="B3" s="254" t="s">
        <v>110</v>
      </c>
      <c r="C3" s="254"/>
      <c r="D3" s="254"/>
      <c r="E3" s="254"/>
      <c r="F3" s="255" t="s">
        <v>111</v>
      </c>
      <c r="G3" s="255"/>
    </row>
    <row r="4" spans="1:7" ht="15" thickBot="1" x14ac:dyDescent="0.35">
      <c r="A4" s="3"/>
      <c r="B4" s="4"/>
      <c r="C4" s="3"/>
      <c r="D4" s="3"/>
      <c r="E4" s="6"/>
      <c r="F4" s="6"/>
      <c r="G4" s="3"/>
    </row>
    <row r="5" spans="1:7" ht="15" thickBot="1" x14ac:dyDescent="0.35">
      <c r="A5" s="250" t="s">
        <v>20</v>
      </c>
      <c r="B5" s="9" t="s">
        <v>21</v>
      </c>
      <c r="C5" s="9" t="s">
        <v>22</v>
      </c>
      <c r="D5" s="110" t="s">
        <v>23</v>
      </c>
      <c r="E5" s="252" t="s">
        <v>24</v>
      </c>
      <c r="F5" s="256" t="s">
        <v>25</v>
      </c>
      <c r="G5" s="257"/>
    </row>
    <row r="6" spans="1:7" ht="15" thickBot="1" x14ac:dyDescent="0.35">
      <c r="A6" s="251"/>
      <c r="B6" s="9" t="s">
        <v>26</v>
      </c>
      <c r="C6" s="9" t="s">
        <v>27</v>
      </c>
      <c r="D6" s="110" t="s">
        <v>28</v>
      </c>
      <c r="E6" s="253"/>
      <c r="F6" s="7" t="s">
        <v>29</v>
      </c>
      <c r="G6" s="8" t="s">
        <v>30</v>
      </c>
    </row>
    <row r="7" spans="1:7" ht="15" thickBot="1" x14ac:dyDescent="0.35">
      <c r="A7" s="256"/>
      <c r="B7" s="258"/>
      <c r="C7" s="258"/>
      <c r="D7" s="258"/>
      <c r="E7" s="258"/>
      <c r="F7" s="258"/>
      <c r="G7" s="257"/>
    </row>
    <row r="8" spans="1:7" ht="15.75" customHeight="1" thickBot="1" x14ac:dyDescent="0.35">
      <c r="A8" s="9">
        <v>1</v>
      </c>
      <c r="B8" s="246" t="s">
        <v>31</v>
      </c>
      <c r="C8" s="247"/>
      <c r="D8" s="247"/>
      <c r="E8" s="247"/>
      <c r="F8" s="248"/>
      <c r="G8" s="110">
        <f>F10+F11</f>
        <v>0</v>
      </c>
    </row>
    <row r="9" spans="1:7" x14ac:dyDescent="0.3">
      <c r="A9" s="61"/>
      <c r="B9" s="62"/>
      <c r="C9" s="62"/>
      <c r="D9" s="62"/>
      <c r="E9" s="63"/>
      <c r="F9" s="63"/>
      <c r="G9" s="64"/>
    </row>
    <row r="10" spans="1:7" ht="55.2" x14ac:dyDescent="0.3">
      <c r="A10" s="13" t="s">
        <v>32</v>
      </c>
      <c r="B10" s="14" t="s">
        <v>112</v>
      </c>
      <c r="C10" s="15" t="s">
        <v>113</v>
      </c>
      <c r="D10" s="16">
        <f>(2.74*1.55)</f>
        <v>4.2470000000000008</v>
      </c>
      <c r="E10" s="17"/>
      <c r="F10" s="17">
        <f t="shared" ref="F10:F11" si="0">D10*E10</f>
        <v>0</v>
      </c>
      <c r="G10" s="18"/>
    </row>
    <row r="11" spans="1:7" ht="55.2" x14ac:dyDescent="0.3">
      <c r="A11" s="13" t="s">
        <v>62</v>
      </c>
      <c r="B11" s="65" t="s">
        <v>114</v>
      </c>
      <c r="C11" s="66" t="s">
        <v>115</v>
      </c>
      <c r="D11" s="67">
        <f>0.15*(81.57)</f>
        <v>12.235499999999998</v>
      </c>
      <c r="E11" s="17"/>
      <c r="F11" s="68">
        <f t="shared" si="0"/>
        <v>0</v>
      </c>
      <c r="G11" s="69"/>
    </row>
    <row r="12" spans="1:7" ht="15" thickBot="1" x14ac:dyDescent="0.35">
      <c r="A12" s="19"/>
      <c r="B12" s="20"/>
      <c r="C12" s="20"/>
      <c r="D12" s="20"/>
      <c r="E12" s="21"/>
      <c r="F12" s="21"/>
      <c r="G12" s="22"/>
    </row>
    <row r="13" spans="1:7" ht="15" thickBot="1" x14ac:dyDescent="0.35">
      <c r="A13" s="9">
        <v>2</v>
      </c>
      <c r="B13" s="246" t="s">
        <v>35</v>
      </c>
      <c r="C13" s="247"/>
      <c r="D13" s="247"/>
      <c r="E13" s="247"/>
      <c r="F13" s="248"/>
      <c r="G13" s="110">
        <f>SUM(F15:F17)</f>
        <v>0</v>
      </c>
    </row>
    <row r="14" spans="1:7" x14ac:dyDescent="0.3">
      <c r="A14" s="149"/>
      <c r="B14" s="150"/>
      <c r="C14" s="150"/>
      <c r="D14" s="150"/>
      <c r="E14" s="151"/>
      <c r="F14" s="151"/>
      <c r="G14" s="152"/>
    </row>
    <row r="15" spans="1:7" ht="96.6" x14ac:dyDescent="0.3">
      <c r="A15" s="153" t="s">
        <v>36</v>
      </c>
      <c r="B15" s="154" t="s">
        <v>37</v>
      </c>
      <c r="C15" s="155"/>
      <c r="D15" s="156"/>
      <c r="E15" s="157"/>
      <c r="F15" s="157"/>
      <c r="G15" s="158"/>
    </row>
    <row r="16" spans="1:7" ht="15" x14ac:dyDescent="0.3">
      <c r="A16" s="13" t="s">
        <v>38</v>
      </c>
      <c r="B16" s="37" t="s">
        <v>39</v>
      </c>
      <c r="C16" s="15" t="s">
        <v>115</v>
      </c>
      <c r="D16" s="16">
        <f>0.2*0.4*(3.23+1.41+3.38+3.23+1.41+3.38+3.23+1.41+2.43+3.01+2.7+3.07+3.79+2.23+3.53+3.79+2.23+2.54+0.8+3.79+5.03+4.79)</f>
        <v>5.1528000000000009</v>
      </c>
      <c r="E16" s="17"/>
      <c r="F16" s="17">
        <f t="shared" ref="F16:F17" si="1">D16*E16</f>
        <v>0</v>
      </c>
      <c r="G16" s="39"/>
    </row>
    <row r="17" spans="1:7" ht="15" x14ac:dyDescent="0.3">
      <c r="A17" s="13" t="s">
        <v>40</v>
      </c>
      <c r="B17" s="37" t="s">
        <v>41</v>
      </c>
      <c r="C17" s="15" t="s">
        <v>115</v>
      </c>
      <c r="D17" s="16">
        <f>0.15*(12.25+5.45+11.18+16.94+9.98+3.4)</f>
        <v>8.879999999999999</v>
      </c>
      <c r="E17" s="17"/>
      <c r="F17" s="17">
        <f t="shared" si="1"/>
        <v>0</v>
      </c>
      <c r="G17" s="39"/>
    </row>
    <row r="18" spans="1:7" ht="15" thickBot="1" x14ac:dyDescent="0.35">
      <c r="A18" s="40"/>
      <c r="B18" s="41"/>
      <c r="C18" s="41"/>
      <c r="D18" s="41"/>
      <c r="E18" s="42"/>
      <c r="F18" s="42"/>
      <c r="G18" s="43"/>
    </row>
    <row r="19" spans="1:7" ht="15" thickBot="1" x14ac:dyDescent="0.35">
      <c r="A19" s="9">
        <v>3</v>
      </c>
      <c r="B19" s="249" t="s">
        <v>64</v>
      </c>
      <c r="C19" s="249"/>
      <c r="D19" s="249"/>
      <c r="E19" s="249"/>
      <c r="F19" s="249"/>
      <c r="G19" s="110">
        <f>F21</f>
        <v>0</v>
      </c>
    </row>
    <row r="20" spans="1:7" x14ac:dyDescent="0.3">
      <c r="A20" s="44"/>
      <c r="B20" s="45"/>
      <c r="C20" s="45"/>
      <c r="D20" s="45"/>
      <c r="E20" s="34"/>
      <c r="F20" s="34"/>
      <c r="G20" s="35"/>
    </row>
    <row r="21" spans="1:7" ht="96.6" x14ac:dyDescent="0.3">
      <c r="A21" s="46" t="s">
        <v>43</v>
      </c>
      <c r="B21" s="47" t="s">
        <v>116</v>
      </c>
      <c r="C21" s="15" t="s">
        <v>113</v>
      </c>
      <c r="D21" s="16">
        <f>(0.4*(3.79+3.07+3.79+2.89+3.79+0.8+2.54+0.71+4.79+5.03+3.23+1.41+3.23+1.46+3.38+3.43+0.73+2.43+3.01+2.7))</f>
        <v>22.483999999999998</v>
      </c>
      <c r="E21" s="17"/>
      <c r="F21" s="17">
        <f t="shared" ref="F21" si="2">D21*E21</f>
        <v>0</v>
      </c>
      <c r="G21" s="39"/>
    </row>
    <row r="22" spans="1:7" ht="15" thickBot="1" x14ac:dyDescent="0.35">
      <c r="A22" s="48"/>
      <c r="B22" s="49"/>
      <c r="C22" s="28"/>
      <c r="D22" s="29"/>
      <c r="E22" s="30"/>
      <c r="F22" s="30"/>
      <c r="G22" s="50"/>
    </row>
    <row r="23" spans="1:7" ht="15" thickBot="1" x14ac:dyDescent="0.35">
      <c r="A23" s="9">
        <v>4</v>
      </c>
      <c r="B23" s="246" t="s">
        <v>66</v>
      </c>
      <c r="C23" s="247"/>
      <c r="D23" s="247"/>
      <c r="E23" s="247"/>
      <c r="F23" s="248"/>
      <c r="G23" s="110">
        <f>SUM(F24:F26)</f>
        <v>0</v>
      </c>
    </row>
    <row r="24" spans="1:7" x14ac:dyDescent="0.3">
      <c r="A24" s="51"/>
      <c r="B24" s="52"/>
      <c r="C24" s="23"/>
      <c r="D24" s="24"/>
      <c r="E24" s="25"/>
      <c r="F24" s="25"/>
      <c r="G24" s="53"/>
    </row>
    <row r="25" spans="1:7" ht="82.8" x14ac:dyDescent="0.3">
      <c r="A25" s="13" t="s">
        <v>51</v>
      </c>
      <c r="B25" s="47" t="s">
        <v>44</v>
      </c>
      <c r="C25" s="15" t="s">
        <v>113</v>
      </c>
      <c r="D25" s="16">
        <f>(2.74*(2.7+2.7+1.58))-(1.03*1)</f>
        <v>18.095200000000002</v>
      </c>
      <c r="E25" s="17"/>
      <c r="F25" s="17">
        <f>+D25*E25</f>
        <v>0</v>
      </c>
      <c r="G25" s="39"/>
    </row>
    <row r="26" spans="1:7" ht="15" thickBot="1" x14ac:dyDescent="0.35">
      <c r="A26" s="48"/>
      <c r="B26" s="49"/>
      <c r="C26" s="28"/>
      <c r="D26" s="29"/>
      <c r="E26" s="30"/>
      <c r="F26" s="30"/>
      <c r="G26" s="50"/>
    </row>
    <row r="27" spans="1:7" ht="15" thickBot="1" x14ac:dyDescent="0.35">
      <c r="A27" s="9">
        <v>5</v>
      </c>
      <c r="B27" s="246" t="s">
        <v>117</v>
      </c>
      <c r="C27" s="247"/>
      <c r="D27" s="247"/>
      <c r="E27" s="247"/>
      <c r="F27" s="248"/>
      <c r="G27" s="110">
        <f>+SUM(F29)</f>
        <v>0</v>
      </c>
    </row>
    <row r="28" spans="1:7" x14ac:dyDescent="0.3">
      <c r="A28" s="51"/>
      <c r="B28" s="52"/>
      <c r="C28" s="33"/>
      <c r="D28" s="24"/>
      <c r="E28" s="25"/>
      <c r="F28" s="25"/>
      <c r="G28" s="53"/>
    </row>
    <row r="29" spans="1:7" ht="55.2" x14ac:dyDescent="0.3">
      <c r="A29" s="108" t="s">
        <v>55</v>
      </c>
      <c r="B29" s="145" t="s">
        <v>118</v>
      </c>
      <c r="C29" s="105" t="s">
        <v>53</v>
      </c>
      <c r="D29" s="146">
        <v>1</v>
      </c>
      <c r="E29" s="106"/>
      <c r="F29" s="106">
        <f>D29*E29</f>
        <v>0</v>
      </c>
      <c r="G29" s="109"/>
    </row>
    <row r="30" spans="1:7" ht="15" thickBot="1" x14ac:dyDescent="0.35">
      <c r="A30" s="48"/>
      <c r="B30" s="49"/>
      <c r="C30" s="54"/>
      <c r="D30" s="29"/>
      <c r="E30" s="30"/>
      <c r="F30" s="30"/>
      <c r="G30" s="50"/>
    </row>
    <row r="31" spans="1:7" ht="15" thickBot="1" x14ac:dyDescent="0.35">
      <c r="A31" s="9">
        <v>6</v>
      </c>
      <c r="B31" s="249" t="s">
        <v>119</v>
      </c>
      <c r="C31" s="249"/>
      <c r="D31" s="249"/>
      <c r="E31" s="249"/>
      <c r="F31" s="249"/>
      <c r="G31" s="110">
        <f>SUM(F33:F33)</f>
        <v>0</v>
      </c>
    </row>
    <row r="32" spans="1:7" x14ac:dyDescent="0.3">
      <c r="A32" s="51"/>
      <c r="B32" s="52"/>
      <c r="C32" s="23"/>
      <c r="D32" s="24"/>
      <c r="E32" s="25"/>
      <c r="F32" s="25"/>
      <c r="G32" s="53"/>
    </row>
    <row r="33" spans="1:7" ht="55.2" x14ac:dyDescent="0.3">
      <c r="A33" s="46" t="s">
        <v>58</v>
      </c>
      <c r="B33" s="47" t="s">
        <v>120</v>
      </c>
      <c r="C33" s="15" t="s">
        <v>121</v>
      </c>
      <c r="D33" s="16">
        <v>1</v>
      </c>
      <c r="E33" s="17"/>
      <c r="F33" s="17">
        <f>D33*E33</f>
        <v>0</v>
      </c>
      <c r="G33" s="39"/>
    </row>
    <row r="34" spans="1:7" ht="15" thickBot="1" x14ac:dyDescent="0.35">
      <c r="A34" s="48"/>
      <c r="B34" s="55"/>
      <c r="C34" s="56"/>
      <c r="D34" s="57"/>
      <c r="E34" s="30"/>
      <c r="F34" s="30"/>
      <c r="G34" s="50"/>
    </row>
    <row r="35" spans="1:7" ht="15" thickBot="1" x14ac:dyDescent="0.35">
      <c r="A35" s="9">
        <v>7</v>
      </c>
      <c r="B35" s="249" t="s">
        <v>122</v>
      </c>
      <c r="C35" s="249"/>
      <c r="D35" s="249"/>
      <c r="E35" s="249"/>
      <c r="F35" s="249"/>
      <c r="G35" s="110">
        <f>SUM(F37:F37)</f>
        <v>0</v>
      </c>
    </row>
    <row r="36" spans="1:7" x14ac:dyDescent="0.3">
      <c r="A36" s="51"/>
      <c r="B36" s="52"/>
      <c r="C36" s="23"/>
      <c r="D36" s="24"/>
      <c r="E36" s="25"/>
      <c r="F36" s="25"/>
      <c r="G36" s="53"/>
    </row>
    <row r="37" spans="1:7" ht="69" x14ac:dyDescent="0.3">
      <c r="A37" s="46" t="s">
        <v>79</v>
      </c>
      <c r="B37" s="47" t="s">
        <v>123</v>
      </c>
      <c r="C37" s="15" t="s">
        <v>53</v>
      </c>
      <c r="D37" s="16">
        <v>1</v>
      </c>
      <c r="E37" s="17"/>
      <c r="F37" s="17">
        <f>D37*E37</f>
        <v>0</v>
      </c>
      <c r="G37" s="39"/>
    </row>
    <row r="38" spans="1:7" ht="15" thickBot="1" x14ac:dyDescent="0.35">
      <c r="A38" s="48"/>
      <c r="B38" s="55"/>
      <c r="C38" s="56"/>
      <c r="D38" s="57"/>
      <c r="E38" s="30"/>
      <c r="F38" s="30"/>
      <c r="G38" s="50"/>
    </row>
    <row r="39" spans="1:7" ht="15" thickBot="1" x14ac:dyDescent="0.35">
      <c r="A39" s="9">
        <v>8</v>
      </c>
      <c r="B39" s="249" t="s">
        <v>124</v>
      </c>
      <c r="C39" s="249"/>
      <c r="D39" s="249"/>
      <c r="E39" s="249"/>
      <c r="F39" s="249"/>
      <c r="G39" s="110">
        <f>+F41</f>
        <v>0</v>
      </c>
    </row>
    <row r="40" spans="1:7" x14ac:dyDescent="0.3">
      <c r="A40" s="51"/>
      <c r="B40" s="52"/>
      <c r="C40" s="23"/>
      <c r="D40" s="24"/>
      <c r="E40" s="25"/>
      <c r="F40" s="25"/>
      <c r="G40" s="53"/>
    </row>
    <row r="41" spans="1:7" ht="69" x14ac:dyDescent="0.3">
      <c r="A41" s="108" t="s">
        <v>81</v>
      </c>
      <c r="B41" s="159" t="s">
        <v>59</v>
      </c>
      <c r="C41" s="105" t="s">
        <v>53</v>
      </c>
      <c r="D41" s="146">
        <v>1</v>
      </c>
      <c r="E41" s="106"/>
      <c r="F41" s="106">
        <f>+D41*E41</f>
        <v>0</v>
      </c>
      <c r="G41" s="109"/>
    </row>
    <row r="42" spans="1:7" ht="15" thickBot="1" x14ac:dyDescent="0.35">
      <c r="A42" s="48"/>
      <c r="B42" s="49"/>
      <c r="C42" s="28"/>
      <c r="D42" s="29"/>
      <c r="E42" s="30"/>
      <c r="F42" s="30"/>
      <c r="G42" s="50"/>
    </row>
    <row r="43" spans="1:7" ht="15" thickBot="1" x14ac:dyDescent="0.35">
      <c r="A43" s="9">
        <v>9</v>
      </c>
      <c r="B43" s="246" t="s">
        <v>125</v>
      </c>
      <c r="C43" s="247"/>
      <c r="D43" s="247"/>
      <c r="E43" s="247"/>
      <c r="F43" s="248"/>
      <c r="G43" s="110">
        <f>+SUM(F45:F46)</f>
        <v>0</v>
      </c>
    </row>
    <row r="44" spans="1:7" x14ac:dyDescent="0.3">
      <c r="A44" s="51"/>
      <c r="B44" s="52"/>
      <c r="C44" s="23"/>
      <c r="D44" s="24"/>
      <c r="E44" s="25"/>
      <c r="F44" s="25"/>
      <c r="G44" s="53"/>
    </row>
    <row r="45" spans="1:7" ht="55.2" x14ac:dyDescent="0.3">
      <c r="A45" s="46" t="s">
        <v>85</v>
      </c>
      <c r="B45" s="160" t="s">
        <v>126</v>
      </c>
      <c r="C45" s="15" t="s">
        <v>113</v>
      </c>
      <c r="D45" s="16"/>
      <c r="E45" s="17"/>
      <c r="F45" s="17">
        <f>D45*E45</f>
        <v>0</v>
      </c>
      <c r="G45" s="39"/>
    </row>
    <row r="46" spans="1:7" ht="55.2" x14ac:dyDescent="0.3">
      <c r="A46" s="46" t="s">
        <v>127</v>
      </c>
      <c r="B46" s="47" t="s">
        <v>128</v>
      </c>
      <c r="C46" s="15" t="s">
        <v>53</v>
      </c>
      <c r="D46" s="16">
        <v>1</v>
      </c>
      <c r="E46" s="17"/>
      <c r="F46" s="17">
        <f>E46*D46</f>
        <v>0</v>
      </c>
      <c r="G46" s="39"/>
    </row>
    <row r="47" spans="1:7" ht="15" thickBot="1" x14ac:dyDescent="0.35">
      <c r="A47" s="48"/>
      <c r="B47" s="49"/>
      <c r="C47" s="28"/>
      <c r="D47" s="29"/>
      <c r="E47" s="30"/>
      <c r="F47" s="30"/>
      <c r="G47" s="50"/>
    </row>
    <row r="48" spans="1:7" ht="15" thickBot="1" x14ac:dyDescent="0.35">
      <c r="A48" s="60"/>
      <c r="B48" s="238"/>
      <c r="C48" s="239"/>
      <c r="D48" s="239"/>
      <c r="E48" s="239"/>
      <c r="F48" s="240"/>
      <c r="G48" s="241">
        <f>+SUM(G8:G47)</f>
        <v>0</v>
      </c>
    </row>
    <row r="49" spans="1:7" ht="15" thickBot="1" x14ac:dyDescent="0.35">
      <c r="A49" s="60"/>
      <c r="B49" s="243" t="s">
        <v>60</v>
      </c>
      <c r="C49" s="244"/>
      <c r="D49" s="244"/>
      <c r="E49" s="244"/>
      <c r="F49" s="245"/>
      <c r="G49" s="242"/>
    </row>
    <row r="73" ht="15" customHeight="1" x14ac:dyDescent="0.3"/>
    <row r="78" ht="276.60000000000002" customHeight="1" x14ac:dyDescent="0.3"/>
  </sheetData>
  <mergeCells count="20">
    <mergeCell ref="B19:F19"/>
    <mergeCell ref="B23:F23"/>
    <mergeCell ref="A7:G7"/>
    <mergeCell ref="B8:F8"/>
    <mergeCell ref="B13:F13"/>
    <mergeCell ref="A5:A6"/>
    <mergeCell ref="E5:E6"/>
    <mergeCell ref="B1:E1"/>
    <mergeCell ref="F2:G2"/>
    <mergeCell ref="B3:E3"/>
    <mergeCell ref="F3:G3"/>
    <mergeCell ref="F5:G5"/>
    <mergeCell ref="B48:F48"/>
    <mergeCell ref="G48:G49"/>
    <mergeCell ref="B49:F49"/>
    <mergeCell ref="B27:F27"/>
    <mergeCell ref="B31:F31"/>
    <mergeCell ref="B35:F35"/>
    <mergeCell ref="B39:F39"/>
    <mergeCell ref="B43:F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6"/>
  <sheetViews>
    <sheetView workbookViewId="0">
      <selection activeCell="E77" sqref="E77"/>
    </sheetView>
  </sheetViews>
  <sheetFormatPr defaultRowHeight="14.4" x14ac:dyDescent="0.3"/>
  <cols>
    <col min="1" max="1" width="7.21875" bestFit="1" customWidth="1"/>
    <col min="2" max="2" width="37.77734375" bestFit="1" customWidth="1"/>
    <col min="3" max="3" width="3.77734375" bestFit="1" customWidth="1"/>
    <col min="4" max="4" width="7.77734375" bestFit="1" customWidth="1"/>
    <col min="5" max="5" width="12.77734375" customWidth="1"/>
    <col min="6" max="6" width="11.44140625" bestFit="1" customWidth="1"/>
    <col min="7" max="7" width="12.21875" customWidth="1"/>
  </cols>
  <sheetData>
    <row r="1" spans="1:7" x14ac:dyDescent="0.3">
      <c r="A1" s="1" t="s">
        <v>14</v>
      </c>
      <c r="B1" s="254" t="s">
        <v>15</v>
      </c>
      <c r="C1" s="254"/>
      <c r="D1" s="254"/>
      <c r="E1" s="254"/>
      <c r="F1" s="2"/>
      <c r="G1" s="3"/>
    </row>
    <row r="2" spans="1:7" x14ac:dyDescent="0.3">
      <c r="A2" s="1" t="s">
        <v>16</v>
      </c>
      <c r="B2" s="4"/>
      <c r="C2" s="3"/>
      <c r="D2" s="3"/>
      <c r="E2" s="5"/>
      <c r="F2" s="255"/>
      <c r="G2" s="255"/>
    </row>
    <row r="3" spans="1:7" x14ac:dyDescent="0.3">
      <c r="A3" s="1" t="s">
        <v>17</v>
      </c>
      <c r="B3" s="254" t="s">
        <v>129</v>
      </c>
      <c r="C3" s="254"/>
      <c r="D3" s="254"/>
      <c r="E3" s="254"/>
      <c r="F3" s="255" t="s">
        <v>111</v>
      </c>
      <c r="G3" s="255"/>
    </row>
    <row r="4" spans="1:7" ht="15" thickBot="1" x14ac:dyDescent="0.35">
      <c r="A4" s="3"/>
      <c r="B4" s="4"/>
      <c r="C4" s="3"/>
      <c r="D4" s="3"/>
      <c r="E4" s="6"/>
      <c r="F4" s="6"/>
      <c r="G4" s="3"/>
    </row>
    <row r="5" spans="1:7" ht="15" thickBot="1" x14ac:dyDescent="0.35">
      <c r="A5" s="260" t="s">
        <v>20</v>
      </c>
      <c r="B5" s="260" t="s">
        <v>21</v>
      </c>
      <c r="C5" s="260" t="s">
        <v>22</v>
      </c>
      <c r="D5" s="259" t="s">
        <v>23</v>
      </c>
      <c r="E5" s="261" t="s">
        <v>24</v>
      </c>
      <c r="F5" s="260" t="s">
        <v>25</v>
      </c>
      <c r="G5" s="260"/>
    </row>
    <row r="6" spans="1:7" ht="15" thickBot="1" x14ac:dyDescent="0.35">
      <c r="A6" s="260"/>
      <c r="B6" s="260" t="s">
        <v>26</v>
      </c>
      <c r="C6" s="260" t="s">
        <v>27</v>
      </c>
      <c r="D6" s="259" t="s">
        <v>28</v>
      </c>
      <c r="E6" s="261"/>
      <c r="F6" s="7" t="s">
        <v>29</v>
      </c>
      <c r="G6" s="8" t="s">
        <v>30</v>
      </c>
    </row>
    <row r="7" spans="1:7" ht="15" thickBot="1" x14ac:dyDescent="0.35">
      <c r="A7" s="260"/>
      <c r="B7" s="260"/>
      <c r="C7" s="260"/>
      <c r="D7" s="260"/>
      <c r="E7" s="260"/>
      <c r="F7" s="260"/>
      <c r="G7" s="260"/>
    </row>
    <row r="8" spans="1:7" ht="15" thickBot="1" x14ac:dyDescent="0.35">
      <c r="A8" s="9">
        <v>1</v>
      </c>
      <c r="B8" s="249" t="s">
        <v>31</v>
      </c>
      <c r="C8" s="249"/>
      <c r="D8" s="249"/>
      <c r="E8" s="249"/>
      <c r="F8" s="249"/>
      <c r="G8" s="110">
        <f>F10</f>
        <v>0</v>
      </c>
    </row>
    <row r="9" spans="1:7" x14ac:dyDescent="0.3">
      <c r="A9" s="10"/>
      <c r="B9" s="4"/>
      <c r="C9" s="4"/>
      <c r="D9" s="4"/>
      <c r="E9" s="11"/>
      <c r="F9" s="11"/>
      <c r="G9" s="12"/>
    </row>
    <row r="10" spans="1:7" ht="55.2" x14ac:dyDescent="0.3">
      <c r="A10" s="13" t="s">
        <v>32</v>
      </c>
      <c r="B10" s="14" t="s">
        <v>130</v>
      </c>
      <c r="C10" s="15" t="s">
        <v>113</v>
      </c>
      <c r="D10" s="16">
        <f>24.58</f>
        <v>24.58</v>
      </c>
      <c r="E10" s="17"/>
      <c r="F10" s="17">
        <f t="shared" ref="F10" si="0">D10*E10</f>
        <v>0</v>
      </c>
      <c r="G10" s="18"/>
    </row>
    <row r="11" spans="1:7" ht="15" thickBot="1" x14ac:dyDescent="0.35">
      <c r="A11" s="19"/>
      <c r="B11" s="20"/>
      <c r="C11" s="20"/>
      <c r="D11" s="20"/>
      <c r="E11" s="21"/>
      <c r="F11" s="21"/>
      <c r="G11" s="22"/>
    </row>
    <row r="12" spans="1:7" ht="15" thickBot="1" x14ac:dyDescent="0.35">
      <c r="A12" s="9">
        <v>2</v>
      </c>
      <c r="B12" s="249" t="s">
        <v>131</v>
      </c>
      <c r="C12" s="249"/>
      <c r="D12" s="249"/>
      <c r="E12" s="249"/>
      <c r="F12" s="249"/>
      <c r="G12" s="110">
        <f>+SUM(F14:F15)</f>
        <v>0</v>
      </c>
    </row>
    <row r="13" spans="1:7" x14ac:dyDescent="0.3">
      <c r="A13" s="149"/>
      <c r="B13" s="161"/>
      <c r="C13" s="161"/>
      <c r="D13" s="161"/>
      <c r="E13" s="162"/>
      <c r="F13" s="162"/>
      <c r="G13" s="163"/>
    </row>
    <row r="14" spans="1:7" ht="55.2" x14ac:dyDescent="0.3">
      <c r="A14" s="164" t="s">
        <v>36</v>
      </c>
      <c r="B14" s="165" t="s">
        <v>132</v>
      </c>
      <c r="C14" s="166" t="s">
        <v>115</v>
      </c>
      <c r="D14" s="156">
        <f>0.8*0.8*0.4*3</f>
        <v>0.76800000000000024</v>
      </c>
      <c r="E14" s="157"/>
      <c r="F14" s="157" t="s">
        <v>133</v>
      </c>
      <c r="G14" s="167"/>
    </row>
    <row r="15" spans="1:7" ht="15" thickBot="1" x14ac:dyDescent="0.35">
      <c r="A15" s="26"/>
      <c r="B15" s="27"/>
      <c r="C15" s="28"/>
      <c r="D15" s="29"/>
      <c r="E15" s="30"/>
      <c r="F15" s="30"/>
      <c r="G15" s="31"/>
    </row>
    <row r="16" spans="1:7" ht="15" thickBot="1" x14ac:dyDescent="0.35">
      <c r="A16" s="9">
        <v>3</v>
      </c>
      <c r="B16" s="249" t="s">
        <v>134</v>
      </c>
      <c r="C16" s="249"/>
      <c r="D16" s="249"/>
      <c r="E16" s="249"/>
      <c r="F16" s="249"/>
      <c r="G16" s="110">
        <f>SUM(F17:F22)</f>
        <v>0</v>
      </c>
    </row>
    <row r="17" spans="1:7" ht="41.4" x14ac:dyDescent="0.3">
      <c r="A17" s="32" t="s">
        <v>43</v>
      </c>
      <c r="B17" s="33" t="s">
        <v>135</v>
      </c>
      <c r="C17" s="23" t="s">
        <v>113</v>
      </c>
      <c r="D17" s="23">
        <f>0.6*0.6*3</f>
        <v>1.08</v>
      </c>
      <c r="E17" s="34"/>
      <c r="F17" s="34">
        <f>D17*E17</f>
        <v>0</v>
      </c>
      <c r="G17" s="35"/>
    </row>
    <row r="18" spans="1:7" ht="96.6" x14ac:dyDescent="0.3">
      <c r="A18" s="36" t="s">
        <v>46</v>
      </c>
      <c r="B18" s="37" t="s">
        <v>37</v>
      </c>
      <c r="C18" s="38"/>
      <c r="D18" s="16"/>
      <c r="E18" s="17"/>
      <c r="F18" s="17"/>
      <c r="G18" s="39"/>
    </row>
    <row r="19" spans="1:7" ht="15" x14ac:dyDescent="0.3">
      <c r="A19" s="13" t="s">
        <v>136</v>
      </c>
      <c r="B19" s="37" t="s">
        <v>137</v>
      </c>
      <c r="C19" s="15" t="s">
        <v>115</v>
      </c>
      <c r="D19" s="16">
        <f>0.5*0.5*0.4*3</f>
        <v>0.30000000000000004</v>
      </c>
      <c r="E19" s="17"/>
      <c r="F19" s="17">
        <f t="shared" ref="F19:F22" si="1">D19*E19</f>
        <v>0</v>
      </c>
      <c r="G19" s="39"/>
    </row>
    <row r="20" spans="1:7" ht="15" x14ac:dyDescent="0.3">
      <c r="A20" s="13" t="s">
        <v>138</v>
      </c>
      <c r="B20" s="37" t="s">
        <v>139</v>
      </c>
      <c r="C20" s="15" t="s">
        <v>115</v>
      </c>
      <c r="D20" s="16">
        <f>0.2*0.2*3*4</f>
        <v>0.48000000000000009</v>
      </c>
      <c r="E20" s="17"/>
      <c r="F20" s="17">
        <f t="shared" si="1"/>
        <v>0</v>
      </c>
      <c r="G20" s="39"/>
    </row>
    <row r="21" spans="1:7" ht="15" x14ac:dyDescent="0.3">
      <c r="A21" s="13" t="s">
        <v>140</v>
      </c>
      <c r="B21" s="37" t="s">
        <v>39</v>
      </c>
      <c r="C21" s="15" t="s">
        <v>115</v>
      </c>
      <c r="D21" s="16">
        <f>0.2*0.4*(2.24+3.36+2.24+3.88+3.88+3.88)</f>
        <v>1.5584</v>
      </c>
      <c r="E21" s="17"/>
      <c r="F21" s="17">
        <f t="shared" si="1"/>
        <v>0</v>
      </c>
      <c r="G21" s="39"/>
    </row>
    <row r="22" spans="1:7" ht="15" x14ac:dyDescent="0.3">
      <c r="A22" s="13" t="s">
        <v>141</v>
      </c>
      <c r="B22" s="37" t="s">
        <v>41</v>
      </c>
      <c r="C22" s="15" t="s">
        <v>115</v>
      </c>
      <c r="D22" s="16">
        <f>0.15*(13.07+8.71)</f>
        <v>3.2669999999999999</v>
      </c>
      <c r="E22" s="17"/>
      <c r="F22" s="17">
        <f t="shared" si="1"/>
        <v>0</v>
      </c>
      <c r="G22" s="39"/>
    </row>
    <row r="23" spans="1:7" ht="15" customHeight="1" thickBot="1" x14ac:dyDescent="0.35">
      <c r="A23" s="40"/>
      <c r="B23" s="41"/>
      <c r="C23" s="41"/>
      <c r="D23" s="41"/>
      <c r="E23" s="42"/>
      <c r="F23" s="42"/>
      <c r="G23" s="43"/>
    </row>
    <row r="24" spans="1:7" ht="15" thickBot="1" x14ac:dyDescent="0.35">
      <c r="A24" s="9">
        <v>4</v>
      </c>
      <c r="B24" s="249" t="s">
        <v>142</v>
      </c>
      <c r="C24" s="249"/>
      <c r="D24" s="249"/>
      <c r="E24" s="249"/>
      <c r="F24" s="249"/>
      <c r="G24" s="110">
        <f>F26</f>
        <v>0</v>
      </c>
    </row>
    <row r="25" spans="1:7" x14ac:dyDescent="0.3">
      <c r="A25" s="44"/>
      <c r="B25" s="45"/>
      <c r="C25" s="45"/>
      <c r="D25" s="45"/>
      <c r="E25" s="34"/>
      <c r="F25" s="34"/>
      <c r="G25" s="35"/>
    </row>
    <row r="26" spans="1:7" ht="69" x14ac:dyDescent="0.3">
      <c r="A26" s="46" t="s">
        <v>51</v>
      </c>
      <c r="B26" s="47" t="s">
        <v>89</v>
      </c>
      <c r="C26" s="15" t="s">
        <v>113</v>
      </c>
      <c r="D26" s="16">
        <f>0.8*2.44</f>
        <v>1.952</v>
      </c>
      <c r="E26" s="17"/>
      <c r="F26" s="17">
        <f t="shared" ref="F26" si="2">D26*E26</f>
        <v>0</v>
      </c>
      <c r="G26" s="39"/>
    </row>
    <row r="27" spans="1:7" ht="15" thickBot="1" x14ac:dyDescent="0.35">
      <c r="A27" s="48"/>
      <c r="B27" s="49"/>
      <c r="C27" s="28"/>
      <c r="D27" s="29"/>
      <c r="E27" s="30"/>
      <c r="F27" s="30"/>
      <c r="G27" s="50"/>
    </row>
    <row r="28" spans="1:7" ht="15" thickBot="1" x14ac:dyDescent="0.35">
      <c r="A28" s="9">
        <v>5</v>
      </c>
      <c r="B28" s="249" t="s">
        <v>143</v>
      </c>
      <c r="C28" s="249"/>
      <c r="D28" s="249"/>
      <c r="E28" s="249"/>
      <c r="F28" s="249"/>
      <c r="G28" s="110">
        <f>SUM(F30:F32)</f>
        <v>0</v>
      </c>
    </row>
    <row r="29" spans="1:7" x14ac:dyDescent="0.3">
      <c r="A29" s="51"/>
      <c r="B29" s="52"/>
      <c r="C29" s="23"/>
      <c r="D29" s="24"/>
      <c r="E29" s="25"/>
      <c r="F29" s="25"/>
      <c r="G29" s="53"/>
    </row>
    <row r="30" spans="1:7" ht="82.8" x14ac:dyDescent="0.3">
      <c r="A30" s="13" t="s">
        <v>55</v>
      </c>
      <c r="B30" s="47" t="s">
        <v>44</v>
      </c>
      <c r="C30" s="15" t="s">
        <v>113</v>
      </c>
      <c r="D30" s="16">
        <f>(3*(3.99+6.5+2.44))-(0.88*2.1+0.95*1+1.53*1+0.87)+(2.87*(3.48+3.48+5.6+5.6))-(0.78*2.1+0.8*2.1+0.88*2.1)</f>
        <v>80.545199999999994</v>
      </c>
      <c r="E30" s="17"/>
      <c r="F30" s="17">
        <f>+D30*E30</f>
        <v>0</v>
      </c>
      <c r="G30" s="39"/>
    </row>
    <row r="31" spans="1:7" ht="27.6" x14ac:dyDescent="0.3">
      <c r="A31" s="13" t="s">
        <v>106</v>
      </c>
      <c r="B31" s="47" t="s">
        <v>47</v>
      </c>
      <c r="C31" s="15" t="s">
        <v>113</v>
      </c>
      <c r="D31" s="16">
        <f>(3*(3.99+6.5+2.44))-(0.88*2.1+0.95*1+1.53*1+0.87)+(2.87*(3.48+3.48+5.6+5.6))-(0.78*2.1+0.8*2.1+0.88*2.1)</f>
        <v>80.545199999999994</v>
      </c>
      <c r="E31" s="17"/>
      <c r="F31" s="17">
        <f>+D31*E31</f>
        <v>0</v>
      </c>
      <c r="G31" s="39"/>
    </row>
    <row r="32" spans="1:7" ht="27.6" x14ac:dyDescent="0.3">
      <c r="A32" s="13" t="s">
        <v>144</v>
      </c>
      <c r="B32" s="47" t="s">
        <v>49</v>
      </c>
      <c r="C32" s="15" t="s">
        <v>113</v>
      </c>
      <c r="D32" s="16">
        <f>14.75+3.94</f>
        <v>18.690000000000001</v>
      </c>
      <c r="E32" s="17"/>
      <c r="F32" s="17">
        <f>D32*E32</f>
        <v>0</v>
      </c>
      <c r="G32" s="39"/>
    </row>
    <row r="33" spans="1:7" ht="15" thickBot="1" x14ac:dyDescent="0.35">
      <c r="A33" s="48"/>
      <c r="B33" s="49"/>
      <c r="C33" s="28"/>
      <c r="D33" s="29"/>
      <c r="E33" s="30"/>
      <c r="F33" s="30"/>
      <c r="G33" s="50"/>
    </row>
    <row r="34" spans="1:7" ht="15" thickBot="1" x14ac:dyDescent="0.35">
      <c r="A34" s="9">
        <v>6</v>
      </c>
      <c r="B34" s="249" t="s">
        <v>145</v>
      </c>
      <c r="C34" s="249"/>
      <c r="D34" s="249"/>
      <c r="E34" s="249"/>
      <c r="F34" s="249"/>
      <c r="G34" s="110">
        <f>+SUM(F36:F42)</f>
        <v>0</v>
      </c>
    </row>
    <row r="35" spans="1:7" x14ac:dyDescent="0.3">
      <c r="A35" s="51"/>
      <c r="B35" s="52"/>
      <c r="C35" s="33"/>
      <c r="D35" s="24"/>
      <c r="E35" s="25"/>
      <c r="F35" s="25"/>
      <c r="G35" s="53"/>
    </row>
    <row r="36" spans="1:7" x14ac:dyDescent="0.3">
      <c r="A36" s="46" t="s">
        <v>58</v>
      </c>
      <c r="B36" s="263" t="s">
        <v>146</v>
      </c>
      <c r="C36" s="263"/>
      <c r="D36" s="263"/>
      <c r="E36" s="263"/>
      <c r="F36" s="263"/>
      <c r="G36" s="264"/>
    </row>
    <row r="37" spans="1:7" ht="69" x14ac:dyDescent="0.3">
      <c r="A37" s="46" t="s">
        <v>147</v>
      </c>
      <c r="B37" s="47" t="s">
        <v>148</v>
      </c>
      <c r="C37" s="15" t="s">
        <v>113</v>
      </c>
      <c r="D37" s="16">
        <f>(2.87*(1.85+1.85+2.13+2.13))-(0.8*2.1)</f>
        <v>21.165200000000002</v>
      </c>
      <c r="E37" s="17"/>
      <c r="F37" s="17">
        <f t="shared" ref="F37:F41" si="3">D37*E37</f>
        <v>0</v>
      </c>
      <c r="G37" s="39"/>
    </row>
    <row r="38" spans="1:7" x14ac:dyDescent="0.3">
      <c r="A38" s="46" t="s">
        <v>149</v>
      </c>
      <c r="B38" s="263" t="s">
        <v>70</v>
      </c>
      <c r="C38" s="263"/>
      <c r="D38" s="263"/>
      <c r="E38" s="263"/>
      <c r="F38" s="263"/>
      <c r="G38" s="264"/>
    </row>
    <row r="39" spans="1:7" ht="69" x14ac:dyDescent="0.3">
      <c r="A39" s="46" t="s">
        <v>150</v>
      </c>
      <c r="B39" s="47" t="s">
        <v>72</v>
      </c>
      <c r="C39" s="15" t="s">
        <v>151</v>
      </c>
      <c r="D39" s="16">
        <v>1</v>
      </c>
      <c r="E39" s="17"/>
      <c r="F39" s="17">
        <f t="shared" si="3"/>
        <v>0</v>
      </c>
      <c r="G39" s="39"/>
    </row>
    <row r="40" spans="1:7" ht="69" x14ac:dyDescent="0.3">
      <c r="A40" s="46" t="s">
        <v>152</v>
      </c>
      <c r="B40" s="47" t="s">
        <v>74</v>
      </c>
      <c r="C40" s="15" t="s">
        <v>151</v>
      </c>
      <c r="D40" s="16">
        <v>1</v>
      </c>
      <c r="E40" s="17"/>
      <c r="F40" s="17">
        <f t="shared" si="3"/>
        <v>0</v>
      </c>
      <c r="G40" s="39"/>
    </row>
    <row r="41" spans="1:7" ht="69" x14ac:dyDescent="0.3">
      <c r="A41" s="46" t="s">
        <v>153</v>
      </c>
      <c r="B41" s="47" t="s">
        <v>154</v>
      </c>
      <c r="C41" s="15" t="s">
        <v>151</v>
      </c>
      <c r="D41" s="16">
        <v>1</v>
      </c>
      <c r="E41" s="17"/>
      <c r="F41" s="17">
        <f t="shared" si="3"/>
        <v>0</v>
      </c>
      <c r="G41" s="39"/>
    </row>
    <row r="42" spans="1:7" ht="15" thickBot="1" x14ac:dyDescent="0.35">
      <c r="A42" s="48"/>
      <c r="B42" s="49"/>
      <c r="C42" s="54"/>
      <c r="D42" s="29"/>
      <c r="E42" s="30"/>
      <c r="F42" s="30"/>
      <c r="G42" s="50"/>
    </row>
    <row r="43" spans="1:7" ht="15" thickBot="1" x14ac:dyDescent="0.35">
      <c r="A43" s="9">
        <v>7</v>
      </c>
      <c r="B43" s="249" t="s">
        <v>78</v>
      </c>
      <c r="C43" s="249"/>
      <c r="D43" s="249"/>
      <c r="E43" s="249"/>
      <c r="F43" s="249"/>
      <c r="G43" s="110">
        <f>+SUM(F45)</f>
        <v>0</v>
      </c>
    </row>
    <row r="44" spans="1:7" x14ac:dyDescent="0.3">
      <c r="A44" s="51"/>
      <c r="B44" s="52"/>
      <c r="C44" s="33"/>
      <c r="D44" s="24"/>
      <c r="E44" s="25"/>
      <c r="F44" s="25"/>
      <c r="G44" s="53"/>
    </row>
    <row r="45" spans="1:7" ht="55.2" x14ac:dyDescent="0.3">
      <c r="A45" s="108" t="s">
        <v>79</v>
      </c>
      <c r="B45" s="145" t="s">
        <v>118</v>
      </c>
      <c r="C45" s="105" t="s">
        <v>53</v>
      </c>
      <c r="D45" s="146">
        <v>1</v>
      </c>
      <c r="E45" s="106"/>
      <c r="F45" s="106">
        <f>D45*E45</f>
        <v>0</v>
      </c>
      <c r="G45" s="109"/>
    </row>
    <row r="46" spans="1:7" ht="15" thickBot="1" x14ac:dyDescent="0.35">
      <c r="A46" s="48"/>
      <c r="B46" s="49"/>
      <c r="C46" s="54"/>
      <c r="D46" s="29"/>
      <c r="E46" s="30"/>
      <c r="F46" s="30"/>
      <c r="G46" s="50"/>
    </row>
    <row r="47" spans="1:7" ht="15" thickBot="1" x14ac:dyDescent="0.35">
      <c r="A47" s="9">
        <v>8</v>
      </c>
      <c r="B47" s="249" t="s">
        <v>155</v>
      </c>
      <c r="C47" s="249"/>
      <c r="D47" s="249"/>
      <c r="E47" s="249"/>
      <c r="F47" s="249"/>
      <c r="G47" s="110">
        <f>SUM(F49:F50)</f>
        <v>0</v>
      </c>
    </row>
    <row r="48" spans="1:7" x14ac:dyDescent="0.3">
      <c r="A48" s="51"/>
      <c r="B48" s="52"/>
      <c r="C48" s="23"/>
      <c r="D48" s="24"/>
      <c r="E48" s="25"/>
      <c r="F48" s="25"/>
      <c r="G48" s="53"/>
    </row>
    <row r="49" spans="1:7" ht="69" x14ac:dyDescent="0.3">
      <c r="A49" s="46" t="s">
        <v>81</v>
      </c>
      <c r="B49" s="47" t="s">
        <v>156</v>
      </c>
      <c r="C49" s="15" t="s">
        <v>121</v>
      </c>
      <c r="D49" s="16">
        <v>1</v>
      </c>
      <c r="E49" s="17"/>
      <c r="F49" s="17">
        <f>D49*E49</f>
        <v>0</v>
      </c>
      <c r="G49" s="39"/>
    </row>
    <row r="50" spans="1:7" ht="55.2" x14ac:dyDescent="0.3">
      <c r="A50" s="46" t="s">
        <v>96</v>
      </c>
      <c r="B50" s="47" t="s">
        <v>120</v>
      </c>
      <c r="C50" s="15" t="s">
        <v>121</v>
      </c>
      <c r="D50" s="16">
        <v>1</v>
      </c>
      <c r="E50" s="17"/>
      <c r="F50" s="17">
        <f>D50*E50</f>
        <v>0</v>
      </c>
      <c r="G50" s="39"/>
    </row>
    <row r="51" spans="1:7" ht="15" thickBot="1" x14ac:dyDescent="0.35">
      <c r="A51" s="48"/>
      <c r="B51" s="55"/>
      <c r="C51" s="56"/>
      <c r="D51" s="57"/>
      <c r="E51" s="30"/>
      <c r="F51" s="30"/>
      <c r="G51" s="50"/>
    </row>
    <row r="52" spans="1:7" ht="15" thickBot="1" x14ac:dyDescent="0.35">
      <c r="A52" s="9">
        <v>9</v>
      </c>
      <c r="B52" s="249" t="s">
        <v>157</v>
      </c>
      <c r="C52" s="249"/>
      <c r="D52" s="249"/>
      <c r="E52" s="249"/>
      <c r="F52" s="249"/>
      <c r="G52" s="110">
        <f>SUM(F54:F56)</f>
        <v>0</v>
      </c>
    </row>
    <row r="53" spans="1:7" x14ac:dyDescent="0.3">
      <c r="A53" s="51"/>
      <c r="B53" s="52"/>
      <c r="C53" s="23"/>
      <c r="D53" s="24"/>
      <c r="E53" s="25"/>
      <c r="F53" s="25"/>
      <c r="G53" s="53"/>
    </row>
    <row r="54" spans="1:7" ht="82.8" x14ac:dyDescent="0.3">
      <c r="A54" s="46" t="s">
        <v>85</v>
      </c>
      <c r="B54" s="47" t="s">
        <v>158</v>
      </c>
      <c r="C54" s="15" t="s">
        <v>53</v>
      </c>
      <c r="D54" s="16">
        <v>1</v>
      </c>
      <c r="E54" s="17"/>
      <c r="F54" s="17">
        <f>D54*E54</f>
        <v>0</v>
      </c>
      <c r="G54" s="39"/>
    </row>
    <row r="55" spans="1:7" ht="69" x14ac:dyDescent="0.3">
      <c r="A55" s="46" t="s">
        <v>127</v>
      </c>
      <c r="B55" s="47" t="s">
        <v>159</v>
      </c>
      <c r="C55" s="15" t="s">
        <v>53</v>
      </c>
      <c r="D55" s="16">
        <v>1</v>
      </c>
      <c r="E55" s="17"/>
      <c r="F55" s="17">
        <f>D55*E55</f>
        <v>0</v>
      </c>
      <c r="G55" s="39"/>
    </row>
    <row r="56" spans="1:7" ht="69" x14ac:dyDescent="0.3">
      <c r="A56" s="46" t="s">
        <v>160</v>
      </c>
      <c r="B56" s="47" t="s">
        <v>123</v>
      </c>
      <c r="C56" s="15" t="s">
        <v>53</v>
      </c>
      <c r="D56" s="16">
        <v>1</v>
      </c>
      <c r="E56" s="17"/>
      <c r="F56" s="17">
        <f>D56*E56</f>
        <v>0</v>
      </c>
      <c r="G56" s="39"/>
    </row>
    <row r="57" spans="1:7" ht="15" thickBot="1" x14ac:dyDescent="0.35">
      <c r="A57" s="48"/>
      <c r="B57" s="55"/>
      <c r="C57" s="56"/>
      <c r="D57" s="57"/>
      <c r="E57" s="30"/>
      <c r="F57" s="30"/>
      <c r="G57" s="50"/>
    </row>
    <row r="58" spans="1:7" ht="15" thickBot="1" x14ac:dyDescent="0.35">
      <c r="A58" s="9">
        <v>10</v>
      </c>
      <c r="B58" s="249" t="s">
        <v>161</v>
      </c>
      <c r="C58" s="249"/>
      <c r="D58" s="249"/>
      <c r="E58" s="249"/>
      <c r="F58" s="249"/>
      <c r="G58" s="110">
        <f>+F60</f>
        <v>0</v>
      </c>
    </row>
    <row r="59" spans="1:7" x14ac:dyDescent="0.3">
      <c r="A59" s="51"/>
      <c r="B59" s="52"/>
      <c r="C59" s="23"/>
      <c r="D59" s="24"/>
      <c r="E59" s="25"/>
      <c r="F59" s="25"/>
      <c r="G59" s="53"/>
    </row>
    <row r="60" spans="1:7" ht="69" x14ac:dyDescent="0.3">
      <c r="A60" s="108" t="s">
        <v>162</v>
      </c>
      <c r="B60" s="159" t="s">
        <v>59</v>
      </c>
      <c r="C60" s="105" t="s">
        <v>53</v>
      </c>
      <c r="D60" s="146">
        <v>1</v>
      </c>
      <c r="E60" s="106"/>
      <c r="F60" s="106">
        <f>+D60*E60</f>
        <v>0</v>
      </c>
      <c r="G60" s="109"/>
    </row>
    <row r="61" spans="1:7" ht="15" thickBot="1" x14ac:dyDescent="0.35">
      <c r="A61" s="48"/>
      <c r="B61" s="49"/>
      <c r="C61" s="28"/>
      <c r="D61" s="29"/>
      <c r="E61" s="30"/>
      <c r="F61" s="30"/>
      <c r="G61" s="50"/>
    </row>
    <row r="62" spans="1:7" ht="15" thickBot="1" x14ac:dyDescent="0.35">
      <c r="A62" s="9">
        <v>11</v>
      </c>
      <c r="B62" s="249" t="s">
        <v>163</v>
      </c>
      <c r="C62" s="249"/>
      <c r="D62" s="249"/>
      <c r="E62" s="249"/>
      <c r="F62" s="249"/>
      <c r="G62" s="110">
        <f>+SUM(F65)</f>
        <v>0</v>
      </c>
    </row>
    <row r="63" spans="1:7" x14ac:dyDescent="0.3">
      <c r="A63" s="51"/>
      <c r="B63" s="52"/>
      <c r="C63" s="23"/>
      <c r="D63" s="24"/>
      <c r="E63" s="25"/>
      <c r="F63" s="25"/>
      <c r="G63" s="53"/>
    </row>
    <row r="64" spans="1:7" ht="69" x14ac:dyDescent="0.3">
      <c r="A64" s="46" t="s">
        <v>164</v>
      </c>
      <c r="B64" s="47" t="s">
        <v>165</v>
      </c>
      <c r="C64" s="15" t="s">
        <v>53</v>
      </c>
      <c r="D64" s="16">
        <v>3</v>
      </c>
      <c r="E64" s="17"/>
      <c r="F64" s="17"/>
      <c r="G64" s="39"/>
    </row>
    <row r="65" spans="1:7" ht="15" thickBot="1" x14ac:dyDescent="0.35">
      <c r="A65" s="58"/>
      <c r="B65" s="59"/>
      <c r="C65" s="59"/>
      <c r="D65" s="59"/>
      <c r="E65" s="30"/>
      <c r="F65" s="30"/>
      <c r="G65" s="50"/>
    </row>
    <row r="66" spans="1:7" ht="15" thickBot="1" x14ac:dyDescent="0.35">
      <c r="A66" s="9">
        <v>12</v>
      </c>
      <c r="B66" s="249" t="s">
        <v>166</v>
      </c>
      <c r="C66" s="249"/>
      <c r="D66" s="249"/>
      <c r="E66" s="249"/>
      <c r="F66" s="249"/>
      <c r="G66" s="110">
        <f>F68</f>
        <v>0</v>
      </c>
    </row>
    <row r="67" spans="1:7" x14ac:dyDescent="0.3">
      <c r="A67" s="51"/>
      <c r="B67" s="52"/>
      <c r="C67" s="23"/>
      <c r="D67" s="24"/>
      <c r="E67" s="25"/>
      <c r="F67" s="25"/>
      <c r="G67" s="53"/>
    </row>
    <row r="68" spans="1:7" ht="41.4" x14ac:dyDescent="0.3">
      <c r="A68" s="46" t="s">
        <v>167</v>
      </c>
      <c r="B68" s="47" t="s">
        <v>168</v>
      </c>
      <c r="C68" s="15" t="s">
        <v>53</v>
      </c>
      <c r="D68" s="16">
        <v>1</v>
      </c>
      <c r="E68" s="17"/>
      <c r="F68" s="17">
        <f>D68*E68</f>
        <v>0</v>
      </c>
      <c r="G68" s="39"/>
    </row>
    <row r="69" spans="1:7" ht="15" thickBot="1" x14ac:dyDescent="0.35">
      <c r="A69" s="168"/>
      <c r="B69" s="169"/>
      <c r="C69" s="170"/>
      <c r="D69" s="171"/>
      <c r="E69" s="172"/>
      <c r="F69" s="172"/>
      <c r="G69" s="173"/>
    </row>
    <row r="70" spans="1:7" ht="15" thickBot="1" x14ac:dyDescent="0.35">
      <c r="A70" s="9">
        <v>13</v>
      </c>
      <c r="B70" s="249" t="s">
        <v>169</v>
      </c>
      <c r="C70" s="249"/>
      <c r="D70" s="249"/>
      <c r="E70" s="249"/>
      <c r="F70" s="249"/>
      <c r="G70" s="110">
        <f>+SUM(F72:F73)</f>
        <v>0</v>
      </c>
    </row>
    <row r="71" spans="1:7" x14ac:dyDescent="0.3">
      <c r="A71" s="51"/>
      <c r="B71" s="52"/>
      <c r="C71" s="23"/>
      <c r="D71" s="24"/>
      <c r="E71" s="25"/>
      <c r="F71" s="25"/>
      <c r="G71" s="53"/>
    </row>
    <row r="72" spans="1:7" ht="55.2" x14ac:dyDescent="0.3">
      <c r="A72" s="46" t="s">
        <v>170</v>
      </c>
      <c r="B72" s="160" t="s">
        <v>126</v>
      </c>
      <c r="C72" s="15" t="s">
        <v>113</v>
      </c>
      <c r="D72" s="16"/>
      <c r="E72" s="17"/>
      <c r="F72" s="17">
        <f>D72*E72</f>
        <v>0</v>
      </c>
      <c r="G72" s="39"/>
    </row>
    <row r="73" spans="1:7" ht="15" customHeight="1" x14ac:dyDescent="0.3">
      <c r="A73" s="46" t="s">
        <v>171</v>
      </c>
      <c r="B73" s="47" t="s">
        <v>128</v>
      </c>
      <c r="C73" s="15" t="s">
        <v>53</v>
      </c>
      <c r="D73" s="16">
        <v>1</v>
      </c>
      <c r="E73" s="17"/>
      <c r="F73" s="17">
        <f>D73*E73</f>
        <v>0</v>
      </c>
      <c r="G73" s="39"/>
    </row>
    <row r="74" spans="1:7" ht="15" thickBot="1" x14ac:dyDescent="0.35">
      <c r="A74" s="48"/>
      <c r="B74" s="49"/>
      <c r="C74" s="28"/>
      <c r="D74" s="29"/>
      <c r="E74" s="30"/>
      <c r="F74" s="30"/>
      <c r="G74" s="50"/>
    </row>
    <row r="75" spans="1:7" ht="15" thickBot="1" x14ac:dyDescent="0.35">
      <c r="A75" s="60"/>
      <c r="B75" s="259"/>
      <c r="C75" s="259"/>
      <c r="D75" s="259"/>
      <c r="E75" s="259"/>
      <c r="F75" s="259"/>
      <c r="G75" s="259">
        <f>+SUM(G8:G74)</f>
        <v>0</v>
      </c>
    </row>
    <row r="76" spans="1:7" ht="15" thickBot="1" x14ac:dyDescent="0.35">
      <c r="A76" s="60"/>
      <c r="B76" s="262" t="s">
        <v>60</v>
      </c>
      <c r="C76" s="262"/>
      <c r="D76" s="262"/>
      <c r="E76" s="262"/>
      <c r="F76" s="262"/>
      <c r="G76" s="260"/>
    </row>
  </sheetData>
  <mergeCells count="29">
    <mergeCell ref="G75:G76"/>
    <mergeCell ref="B76:F76"/>
    <mergeCell ref="B1:E1"/>
    <mergeCell ref="F2:G2"/>
    <mergeCell ref="B3:E3"/>
    <mergeCell ref="F3:G3"/>
    <mergeCell ref="A7:G7"/>
    <mergeCell ref="B8:F8"/>
    <mergeCell ref="B12:F12"/>
    <mergeCell ref="B38:G38"/>
    <mergeCell ref="B43:F43"/>
    <mergeCell ref="B16:F16"/>
    <mergeCell ref="B24:F24"/>
    <mergeCell ref="B28:F28"/>
    <mergeCell ref="B34:F34"/>
    <mergeCell ref="B36:G36"/>
    <mergeCell ref="A5:A6"/>
    <mergeCell ref="D5:D6"/>
    <mergeCell ref="E5:E6"/>
    <mergeCell ref="F5:G5"/>
    <mergeCell ref="B5:B6"/>
    <mergeCell ref="C5:C6"/>
    <mergeCell ref="B70:F70"/>
    <mergeCell ref="B75:F75"/>
    <mergeCell ref="B47:F47"/>
    <mergeCell ref="B52:F52"/>
    <mergeCell ref="B58:F58"/>
    <mergeCell ref="B62:F62"/>
    <mergeCell ref="B66:F6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B71" sqref="B71:F71"/>
    </sheetView>
  </sheetViews>
  <sheetFormatPr defaultRowHeight="14.4" x14ac:dyDescent="0.3"/>
  <cols>
    <col min="1" max="1" width="7" style="70" customWidth="1"/>
    <col min="2" max="2" width="39.6640625" customWidth="1"/>
    <col min="3" max="3" width="4.6640625" customWidth="1"/>
    <col min="4" max="4" width="11.44140625" customWidth="1"/>
    <col min="5" max="5" width="11.33203125" style="71" customWidth="1"/>
    <col min="6" max="6" width="11.44140625" style="71" bestFit="1" customWidth="1"/>
    <col min="7" max="7" width="11.44140625" customWidth="1"/>
    <col min="9" max="10" width="10" bestFit="1" customWidth="1"/>
  </cols>
  <sheetData>
    <row r="1" spans="1:7" ht="8.1" customHeight="1" x14ac:dyDescent="0.3"/>
    <row r="2" spans="1:7" x14ac:dyDescent="0.3">
      <c r="A2" s="4" t="s">
        <v>13</v>
      </c>
      <c r="B2" s="4"/>
      <c r="C2" s="113"/>
      <c r="D2" s="113"/>
      <c r="E2" s="5"/>
      <c r="F2" s="114"/>
      <c r="G2" s="113"/>
    </row>
    <row r="3" spans="1:7" x14ac:dyDescent="0.3">
      <c r="A3" s="1" t="s">
        <v>14</v>
      </c>
      <c r="B3" s="4" t="s">
        <v>15</v>
      </c>
      <c r="C3" s="3"/>
      <c r="E3" s="11"/>
      <c r="F3" s="2"/>
      <c r="G3" s="3"/>
    </row>
    <row r="4" spans="1:7" x14ac:dyDescent="0.3">
      <c r="A4" s="1" t="s">
        <v>16</v>
      </c>
      <c r="B4" s="4"/>
      <c r="C4" s="3"/>
      <c r="D4" s="3"/>
      <c r="E4" s="5"/>
      <c r="F4" s="255"/>
      <c r="G4" s="255"/>
    </row>
    <row r="5" spans="1:7" x14ac:dyDescent="0.3">
      <c r="A5" s="1" t="s">
        <v>17</v>
      </c>
      <c r="B5" s="4" t="s">
        <v>172</v>
      </c>
      <c r="C5" s="3"/>
      <c r="D5" s="3"/>
      <c r="E5" s="5"/>
      <c r="F5" s="255" t="s">
        <v>111</v>
      </c>
      <c r="G5" s="255"/>
    </row>
    <row r="6" spans="1:7" ht="15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276" t="s">
        <v>20</v>
      </c>
      <c r="B7" s="111" t="s">
        <v>21</v>
      </c>
      <c r="C7" s="276" t="s">
        <v>22</v>
      </c>
      <c r="D7" s="278" t="s">
        <v>23</v>
      </c>
      <c r="E7" s="280" t="s">
        <v>24</v>
      </c>
      <c r="F7" s="282" t="s">
        <v>25</v>
      </c>
      <c r="G7" s="283"/>
    </row>
    <row r="8" spans="1:7" ht="15" thickBot="1" x14ac:dyDescent="0.35">
      <c r="A8" s="277"/>
      <c r="B8" s="112" t="s">
        <v>26</v>
      </c>
      <c r="C8" s="277" t="s">
        <v>27</v>
      </c>
      <c r="D8" s="279" t="s">
        <v>28</v>
      </c>
      <c r="E8" s="281"/>
      <c r="F8" s="72" t="s">
        <v>29</v>
      </c>
      <c r="G8" s="73" t="s">
        <v>30</v>
      </c>
    </row>
    <row r="9" spans="1:7" ht="12" customHeight="1" x14ac:dyDescent="0.3">
      <c r="A9" s="284"/>
      <c r="B9" s="285"/>
      <c r="C9" s="285"/>
      <c r="D9" s="285"/>
      <c r="E9" s="285"/>
      <c r="F9" s="285"/>
      <c r="G9" s="286"/>
    </row>
    <row r="10" spans="1:7" x14ac:dyDescent="0.3">
      <c r="A10" s="115">
        <v>1</v>
      </c>
      <c r="B10" s="265" t="s">
        <v>31</v>
      </c>
      <c r="C10" s="266"/>
      <c r="D10" s="266"/>
      <c r="E10" s="266"/>
      <c r="F10" s="267"/>
      <c r="G10" s="74">
        <f>+SUM(F12:F13)</f>
        <v>0</v>
      </c>
    </row>
    <row r="11" spans="1:7" ht="16.5" customHeight="1" x14ac:dyDescent="0.3">
      <c r="A11" s="116"/>
      <c r="B11" s="117"/>
      <c r="C11" s="117"/>
      <c r="D11" s="117"/>
      <c r="E11" s="118"/>
      <c r="F11" s="118"/>
      <c r="G11" s="119"/>
    </row>
    <row r="12" spans="1:7" ht="55.2" x14ac:dyDescent="0.3">
      <c r="A12" s="13" t="s">
        <v>32</v>
      </c>
      <c r="B12" s="14" t="s">
        <v>173</v>
      </c>
      <c r="C12" s="15" t="s">
        <v>113</v>
      </c>
      <c r="D12" s="17">
        <f>(38.84)</f>
        <v>38.840000000000003</v>
      </c>
      <c r="E12" s="17"/>
      <c r="F12" s="17">
        <f>D12*E12</f>
        <v>0</v>
      </c>
      <c r="G12" s="18"/>
    </row>
    <row r="13" spans="1:7" ht="53.25" customHeight="1" x14ac:dyDescent="0.3">
      <c r="A13" s="13" t="s">
        <v>62</v>
      </c>
      <c r="B13" s="14" t="s">
        <v>112</v>
      </c>
      <c r="C13" s="15" t="s">
        <v>113</v>
      </c>
      <c r="D13" s="17">
        <f>(0.25*2.24*3)+(0.6*0.6)</f>
        <v>2.04</v>
      </c>
      <c r="E13" s="17"/>
      <c r="F13" s="17">
        <f>D13*E13</f>
        <v>0</v>
      </c>
      <c r="G13" s="18"/>
    </row>
    <row r="14" spans="1:7" ht="16.5" customHeight="1" x14ac:dyDescent="0.3">
      <c r="A14" s="104"/>
      <c r="B14" s="137"/>
      <c r="C14" s="105"/>
      <c r="D14" s="106"/>
      <c r="E14" s="106"/>
      <c r="F14" s="106"/>
      <c r="G14" s="107"/>
    </row>
    <row r="15" spans="1:7" x14ac:dyDescent="0.3">
      <c r="A15" s="78">
        <v>2</v>
      </c>
      <c r="B15" s="287" t="s">
        <v>131</v>
      </c>
      <c r="C15" s="287"/>
      <c r="D15" s="287"/>
      <c r="E15" s="287"/>
      <c r="F15" s="287"/>
      <c r="G15" s="174">
        <f>F16</f>
        <v>0</v>
      </c>
    </row>
    <row r="16" spans="1:7" ht="44.25" customHeight="1" x14ac:dyDescent="0.3">
      <c r="A16" s="164" t="s">
        <v>36</v>
      </c>
      <c r="B16" s="165" t="s">
        <v>132</v>
      </c>
      <c r="C16" s="166" t="s">
        <v>115</v>
      </c>
      <c r="D16" s="156">
        <f>(0.8*0.8*0.4*5)</f>
        <v>1.2800000000000002</v>
      </c>
      <c r="E16" s="17"/>
      <c r="F16" s="157">
        <f>D16*E16</f>
        <v>0</v>
      </c>
      <c r="G16" s="167"/>
    </row>
    <row r="17" spans="1:7" ht="15.75" customHeight="1" x14ac:dyDescent="0.3">
      <c r="A17" s="120"/>
      <c r="B17" s="121"/>
      <c r="C17" s="121"/>
      <c r="D17" s="121"/>
      <c r="E17" s="122"/>
      <c r="F17" s="122"/>
      <c r="G17" s="123"/>
    </row>
    <row r="18" spans="1:7" x14ac:dyDescent="0.3">
      <c r="A18" s="115">
        <v>3</v>
      </c>
      <c r="B18" s="265" t="s">
        <v>134</v>
      </c>
      <c r="C18" s="266"/>
      <c r="D18" s="266"/>
      <c r="E18" s="266"/>
      <c r="F18" s="267"/>
      <c r="G18" s="74">
        <f>SUM(F20:F25)</f>
        <v>0</v>
      </c>
    </row>
    <row r="19" spans="1:7" x14ac:dyDescent="0.3">
      <c r="A19" s="124"/>
      <c r="B19" s="125"/>
      <c r="C19" s="126"/>
      <c r="D19" s="126"/>
      <c r="E19" s="126"/>
      <c r="F19" s="127"/>
      <c r="G19" s="128"/>
    </row>
    <row r="20" spans="1:7" ht="45" customHeight="1" x14ac:dyDescent="0.3">
      <c r="A20" s="36" t="s">
        <v>43</v>
      </c>
      <c r="B20" s="37" t="s">
        <v>174</v>
      </c>
      <c r="C20" s="15" t="s">
        <v>113</v>
      </c>
      <c r="D20" s="15">
        <f>(0.6*0.6*5)</f>
        <v>1.7999999999999998</v>
      </c>
      <c r="E20" s="118"/>
      <c r="F20" s="118">
        <f>D20*E20</f>
        <v>0</v>
      </c>
      <c r="G20" s="119"/>
    </row>
    <row r="21" spans="1:7" ht="96.6" x14ac:dyDescent="0.3">
      <c r="A21" s="36" t="s">
        <v>46</v>
      </c>
      <c r="B21" s="37" t="s">
        <v>37</v>
      </c>
      <c r="C21" s="38"/>
      <c r="D21" s="16"/>
      <c r="E21" s="17"/>
      <c r="F21" s="17"/>
      <c r="G21" s="39"/>
    </row>
    <row r="22" spans="1:7" ht="15" x14ac:dyDescent="0.3">
      <c r="A22" s="13" t="s">
        <v>175</v>
      </c>
      <c r="B22" s="37" t="s">
        <v>137</v>
      </c>
      <c r="C22" s="15" t="s">
        <v>115</v>
      </c>
      <c r="D22" s="16">
        <f>(0.5*0.5*0.4*5)</f>
        <v>0.5</v>
      </c>
      <c r="E22" s="17"/>
      <c r="F22" s="17">
        <f>D22*E22</f>
        <v>0</v>
      </c>
      <c r="G22" s="39"/>
    </row>
    <row r="23" spans="1:7" ht="15" x14ac:dyDescent="0.3">
      <c r="A23" s="13" t="s">
        <v>176</v>
      </c>
      <c r="B23" s="37" t="s">
        <v>139</v>
      </c>
      <c r="C23" s="15" t="s">
        <v>115</v>
      </c>
      <c r="D23" s="16">
        <f>(0.2*0.2*2.64*5)</f>
        <v>0.52800000000000014</v>
      </c>
      <c r="E23" s="17"/>
      <c r="F23" s="17">
        <f>D23*E23</f>
        <v>0</v>
      </c>
      <c r="G23" s="39"/>
    </row>
    <row r="24" spans="1:7" ht="15" x14ac:dyDescent="0.3">
      <c r="A24" s="13" t="s">
        <v>177</v>
      </c>
      <c r="B24" s="37" t="s">
        <v>39</v>
      </c>
      <c r="C24" s="15" t="s">
        <v>115</v>
      </c>
      <c r="D24" s="16">
        <f>((1.5*2+4.2+2+2.04+3.77+3.07+4.42+2.67+3.13+4.89+3.27)*0.2*0.4)</f>
        <v>2.9168000000000003</v>
      </c>
      <c r="E24" s="17"/>
      <c r="F24" s="17">
        <f>D24*E24</f>
        <v>0</v>
      </c>
      <c r="G24" s="39"/>
    </row>
    <row r="25" spans="1:7" ht="15" x14ac:dyDescent="0.3">
      <c r="A25" s="13" t="s">
        <v>178</v>
      </c>
      <c r="B25" s="37" t="s">
        <v>41</v>
      </c>
      <c r="C25" s="15" t="s">
        <v>115</v>
      </c>
      <c r="D25" s="16">
        <f>(4.59+19.08+5.32+6.16+1.98+2.27)*0.15</f>
        <v>5.9099999999999993</v>
      </c>
      <c r="E25" s="17"/>
      <c r="F25" s="17">
        <f>D25*E25</f>
        <v>0</v>
      </c>
      <c r="G25" s="39"/>
    </row>
    <row r="26" spans="1:7" ht="12.75" customHeight="1" x14ac:dyDescent="0.3">
      <c r="A26" s="129"/>
      <c r="B26" s="130"/>
      <c r="C26" s="130"/>
      <c r="D26" s="130"/>
      <c r="E26" s="131"/>
      <c r="F26" s="131"/>
      <c r="G26" s="132"/>
    </row>
    <row r="27" spans="1:7" x14ac:dyDescent="0.3">
      <c r="A27" s="115">
        <v>4</v>
      </c>
      <c r="B27" s="265" t="s">
        <v>142</v>
      </c>
      <c r="C27" s="266"/>
      <c r="D27" s="266"/>
      <c r="E27" s="266"/>
      <c r="F27" s="267"/>
      <c r="G27" s="74">
        <f>+SUM(F29:F29)</f>
        <v>0</v>
      </c>
    </row>
    <row r="28" spans="1:7" ht="12.75" customHeight="1" x14ac:dyDescent="0.3">
      <c r="A28" s="116"/>
      <c r="B28" s="117"/>
      <c r="C28" s="117"/>
      <c r="D28" s="117"/>
      <c r="E28" s="118"/>
      <c r="F28" s="118"/>
      <c r="G28" s="119"/>
    </row>
    <row r="29" spans="1:7" ht="68.25" customHeight="1" x14ac:dyDescent="0.3">
      <c r="A29" s="46" t="s">
        <v>51</v>
      </c>
      <c r="B29" s="47" t="s">
        <v>179</v>
      </c>
      <c r="C29" s="15" t="s">
        <v>113</v>
      </c>
      <c r="D29" s="16">
        <f>((1.5*3+3.07)*2.8)</f>
        <v>21.195999999999998</v>
      </c>
      <c r="E29" s="17"/>
      <c r="F29" s="17">
        <f>D29*E29</f>
        <v>0</v>
      </c>
      <c r="G29" s="39"/>
    </row>
    <row r="30" spans="1:7" x14ac:dyDescent="0.3">
      <c r="A30" s="46"/>
      <c r="B30" s="47"/>
      <c r="C30" s="15"/>
      <c r="D30" s="16"/>
      <c r="E30" s="17"/>
      <c r="F30" s="17"/>
      <c r="G30" s="39"/>
    </row>
    <row r="31" spans="1:7" x14ac:dyDescent="0.3">
      <c r="A31" s="115">
        <v>5</v>
      </c>
      <c r="B31" s="265" t="s">
        <v>143</v>
      </c>
      <c r="C31" s="266"/>
      <c r="D31" s="266"/>
      <c r="E31" s="266"/>
      <c r="F31" s="267"/>
      <c r="G31" s="74">
        <f>SUM(F33:F34)</f>
        <v>0</v>
      </c>
    </row>
    <row r="32" spans="1:7" x14ac:dyDescent="0.3">
      <c r="A32" s="46"/>
      <c r="B32" s="47"/>
      <c r="C32" s="15"/>
      <c r="D32" s="16"/>
      <c r="E32" s="17"/>
      <c r="F32" s="17"/>
      <c r="G32" s="39"/>
    </row>
    <row r="33" spans="1:7" ht="72.75" customHeight="1" x14ac:dyDescent="0.3">
      <c r="A33" s="46" t="s">
        <v>55</v>
      </c>
      <c r="B33" s="47" t="s">
        <v>44</v>
      </c>
      <c r="C33" s="15" t="s">
        <v>113</v>
      </c>
      <c r="D33" s="16">
        <f>((1.5*6+4.71+2*2+2.25*2+0.45+1.72+4.28+3.47+3.22+1.2+1.66+0.95+2.67+3.13+4.89+2.03+1.86)*2.8)-(1.15*1.1+0.98*1.98+0.4*0.3+0.71*2.1+1.01*2.1+0.8*2*2+0.95*2+1.25*1.1+0.98*2.1*2)</f>
        <v>132.9436</v>
      </c>
      <c r="E33" s="17"/>
      <c r="F33" s="17">
        <f>+D33*E33</f>
        <v>0</v>
      </c>
      <c r="G33" s="39"/>
    </row>
    <row r="34" spans="1:7" ht="42" customHeight="1" x14ac:dyDescent="0.3">
      <c r="A34" s="46" t="s">
        <v>106</v>
      </c>
      <c r="B34" s="47" t="s">
        <v>180</v>
      </c>
      <c r="C34" s="15" t="s">
        <v>113</v>
      </c>
      <c r="D34" s="16">
        <f>+((7.12+1.86)*2.8-(0.95*2.1+1.25*1.1))</f>
        <v>21.773999999999997</v>
      </c>
      <c r="E34" s="17"/>
      <c r="F34" s="17">
        <f>+D34*E34</f>
        <v>0</v>
      </c>
      <c r="G34" s="39"/>
    </row>
    <row r="35" spans="1:7" x14ac:dyDescent="0.3">
      <c r="A35" s="46"/>
      <c r="B35" s="47"/>
      <c r="C35" s="15"/>
      <c r="D35" s="16"/>
      <c r="E35" s="17"/>
      <c r="F35" s="17"/>
      <c r="G35" s="39"/>
    </row>
    <row r="36" spans="1:7" x14ac:dyDescent="0.3">
      <c r="A36" s="115">
        <v>6</v>
      </c>
      <c r="B36" s="265" t="s">
        <v>181</v>
      </c>
      <c r="C36" s="266"/>
      <c r="D36" s="266"/>
      <c r="E36" s="266"/>
      <c r="F36" s="267"/>
      <c r="G36" s="74">
        <f>+SUM(F38:F44)</f>
        <v>0</v>
      </c>
    </row>
    <row r="37" spans="1:7" ht="17.25" customHeight="1" x14ac:dyDescent="0.3">
      <c r="A37" s="46"/>
      <c r="B37" s="47"/>
      <c r="C37" s="133"/>
      <c r="D37" s="16"/>
      <c r="E37" s="17"/>
      <c r="F37" s="17"/>
      <c r="G37" s="39"/>
    </row>
    <row r="38" spans="1:7" ht="19.5" customHeight="1" x14ac:dyDescent="0.3">
      <c r="A38" s="76" t="s">
        <v>58</v>
      </c>
      <c r="B38" s="77" t="s">
        <v>146</v>
      </c>
      <c r="C38" s="15"/>
      <c r="D38" s="16"/>
      <c r="E38" s="17"/>
      <c r="F38" s="17"/>
      <c r="G38" s="39"/>
    </row>
    <row r="39" spans="1:7" ht="55.2" x14ac:dyDescent="0.3">
      <c r="A39" s="46" t="s">
        <v>147</v>
      </c>
      <c r="B39" s="47" t="s">
        <v>182</v>
      </c>
      <c r="C39" s="15" t="s">
        <v>113</v>
      </c>
      <c r="D39" s="16">
        <f>2.5+1.8</f>
        <v>4.3</v>
      </c>
      <c r="E39" s="17"/>
      <c r="F39" s="17">
        <f>D39*E39</f>
        <v>0</v>
      </c>
      <c r="G39" s="39"/>
    </row>
    <row r="40" spans="1:7" ht="18" customHeight="1" x14ac:dyDescent="0.3">
      <c r="A40" s="76" t="s">
        <v>149</v>
      </c>
      <c r="B40" s="77" t="s">
        <v>70</v>
      </c>
      <c r="C40" s="15"/>
      <c r="D40" s="16"/>
      <c r="E40" s="17"/>
      <c r="F40" s="17"/>
      <c r="G40" s="39"/>
    </row>
    <row r="41" spans="1:7" ht="69" x14ac:dyDescent="0.3">
      <c r="A41" s="46" t="s">
        <v>150</v>
      </c>
      <c r="B41" s="47" t="s">
        <v>72</v>
      </c>
      <c r="C41" s="15" t="s">
        <v>151</v>
      </c>
      <c r="D41" s="16">
        <v>1</v>
      </c>
      <c r="E41" s="17"/>
      <c r="F41" s="17">
        <f>D41*E41</f>
        <v>0</v>
      </c>
      <c r="G41" s="39"/>
    </row>
    <row r="42" spans="1:7" ht="69" x14ac:dyDescent="0.3">
      <c r="A42" s="46" t="s">
        <v>152</v>
      </c>
      <c r="B42" s="47" t="s">
        <v>74</v>
      </c>
      <c r="C42" s="15" t="s">
        <v>151</v>
      </c>
      <c r="D42" s="16">
        <v>1</v>
      </c>
      <c r="E42" s="17"/>
      <c r="F42" s="17">
        <f t="shared" ref="F42" si="0">D42*E42</f>
        <v>0</v>
      </c>
      <c r="G42" s="39"/>
    </row>
    <row r="43" spans="1:7" ht="69" x14ac:dyDescent="0.3">
      <c r="A43" s="46" t="s">
        <v>153</v>
      </c>
      <c r="B43" s="47" t="s">
        <v>76</v>
      </c>
      <c r="C43" s="15" t="s">
        <v>151</v>
      </c>
      <c r="D43" s="16">
        <v>1</v>
      </c>
      <c r="E43" s="17"/>
      <c r="F43" s="17">
        <f>D43*E43</f>
        <v>0</v>
      </c>
      <c r="G43" s="39"/>
    </row>
    <row r="44" spans="1:7" ht="15" customHeight="1" x14ac:dyDescent="0.3">
      <c r="A44" s="46"/>
      <c r="B44" s="47"/>
      <c r="C44" s="133"/>
      <c r="D44" s="16"/>
      <c r="E44" s="17"/>
      <c r="F44" s="17"/>
      <c r="G44" s="39"/>
    </row>
    <row r="45" spans="1:7" x14ac:dyDescent="0.3">
      <c r="A45" s="115">
        <v>7</v>
      </c>
      <c r="B45" s="265" t="s">
        <v>183</v>
      </c>
      <c r="C45" s="266"/>
      <c r="D45" s="266"/>
      <c r="E45" s="266"/>
      <c r="F45" s="267"/>
      <c r="G45" s="74">
        <f>+SUM(F47:F47)</f>
        <v>0</v>
      </c>
    </row>
    <row r="46" spans="1:7" ht="13.5" customHeight="1" x14ac:dyDescent="0.3">
      <c r="A46" s="46"/>
      <c r="B46" s="47"/>
      <c r="C46" s="133"/>
      <c r="D46" s="16"/>
      <c r="E46" s="17"/>
      <c r="F46" s="17"/>
      <c r="G46" s="39"/>
    </row>
    <row r="47" spans="1:7" ht="55.2" x14ac:dyDescent="0.3">
      <c r="A47" s="46" t="s">
        <v>79</v>
      </c>
      <c r="B47" s="47" t="s">
        <v>184</v>
      </c>
      <c r="C47" s="15" t="s">
        <v>53</v>
      </c>
      <c r="D47" s="16">
        <v>1</v>
      </c>
      <c r="E47" s="17"/>
      <c r="F47" s="17">
        <f>D47*E47</f>
        <v>0</v>
      </c>
      <c r="G47" s="39"/>
    </row>
    <row r="48" spans="1:7" x14ac:dyDescent="0.3">
      <c r="A48" s="46"/>
      <c r="B48" s="47"/>
      <c r="C48" s="15"/>
      <c r="D48" s="16"/>
      <c r="E48" s="17"/>
      <c r="F48" s="17"/>
      <c r="G48" s="39"/>
    </row>
    <row r="49" spans="1:7" x14ac:dyDescent="0.3">
      <c r="A49" s="115">
        <v>8</v>
      </c>
      <c r="B49" s="265" t="s">
        <v>185</v>
      </c>
      <c r="C49" s="266"/>
      <c r="D49" s="266"/>
      <c r="E49" s="266"/>
      <c r="F49" s="267"/>
      <c r="G49" s="74">
        <f>+F51</f>
        <v>0</v>
      </c>
    </row>
    <row r="50" spans="1:7" x14ac:dyDescent="0.3">
      <c r="A50" s="95"/>
      <c r="B50" s="75"/>
      <c r="C50" s="96"/>
      <c r="D50" s="134"/>
      <c r="E50" s="97"/>
      <c r="F50" s="135"/>
      <c r="G50" s="98"/>
    </row>
    <row r="51" spans="1:7" ht="55.5" customHeight="1" x14ac:dyDescent="0.3">
      <c r="A51" s="46" t="s">
        <v>81</v>
      </c>
      <c r="B51" s="47" t="s">
        <v>186</v>
      </c>
      <c r="C51" s="15" t="s">
        <v>121</v>
      </c>
      <c r="D51" s="16">
        <v>1</v>
      </c>
      <c r="E51" s="17"/>
      <c r="F51" s="17">
        <f>D51*E51</f>
        <v>0</v>
      </c>
      <c r="G51" s="39"/>
    </row>
    <row r="52" spans="1:7" x14ac:dyDescent="0.3">
      <c r="A52" s="99"/>
      <c r="B52" s="75"/>
      <c r="C52" s="96"/>
      <c r="D52" s="134"/>
      <c r="E52" s="97"/>
      <c r="F52" s="135"/>
      <c r="G52" s="98"/>
    </row>
    <row r="53" spans="1:7" x14ac:dyDescent="0.3">
      <c r="A53" s="115">
        <v>9</v>
      </c>
      <c r="B53" s="265" t="s">
        <v>157</v>
      </c>
      <c r="C53" s="266"/>
      <c r="D53" s="266"/>
      <c r="E53" s="266"/>
      <c r="F53" s="267"/>
      <c r="G53" s="74">
        <f>+F55</f>
        <v>0</v>
      </c>
    </row>
    <row r="54" spans="1:7" x14ac:dyDescent="0.3">
      <c r="A54" s="95"/>
      <c r="B54" s="81"/>
      <c r="C54" s="82"/>
      <c r="D54" s="83"/>
      <c r="E54" s="84"/>
      <c r="F54" s="84"/>
      <c r="G54" s="85"/>
    </row>
    <row r="55" spans="1:7" ht="66" customHeight="1" x14ac:dyDescent="0.3">
      <c r="A55" s="46" t="s">
        <v>85</v>
      </c>
      <c r="B55" s="47" t="s">
        <v>187</v>
      </c>
      <c r="C55" s="15" t="s">
        <v>53</v>
      </c>
      <c r="D55" s="16">
        <v>1</v>
      </c>
      <c r="E55" s="17"/>
      <c r="F55" s="17">
        <f>D55*E55</f>
        <v>0</v>
      </c>
      <c r="G55" s="39"/>
    </row>
    <row r="56" spans="1:7" x14ac:dyDescent="0.3">
      <c r="A56" s="100"/>
      <c r="B56" s="90"/>
      <c r="C56" s="91"/>
      <c r="D56" s="92"/>
      <c r="E56" s="87"/>
      <c r="F56" s="87"/>
      <c r="G56" s="88"/>
    </row>
    <row r="57" spans="1:7" x14ac:dyDescent="0.3">
      <c r="A57" s="115">
        <v>10</v>
      </c>
      <c r="B57" s="265" t="s">
        <v>161</v>
      </c>
      <c r="C57" s="266"/>
      <c r="D57" s="266"/>
      <c r="E57" s="266"/>
      <c r="F57" s="267"/>
      <c r="G57" s="74">
        <f>+F59</f>
        <v>0</v>
      </c>
    </row>
    <row r="58" spans="1:7" x14ac:dyDescent="0.3">
      <c r="A58" s="95"/>
      <c r="B58" s="81"/>
      <c r="C58" s="82"/>
      <c r="D58" s="83"/>
      <c r="E58" s="84"/>
      <c r="F58" s="84"/>
      <c r="G58" s="85"/>
    </row>
    <row r="59" spans="1:7" ht="66.75" customHeight="1" x14ac:dyDescent="0.3">
      <c r="A59" s="46" t="s">
        <v>162</v>
      </c>
      <c r="B59" s="75" t="s">
        <v>188</v>
      </c>
      <c r="C59" s="15" t="s">
        <v>53</v>
      </c>
      <c r="D59" s="16">
        <v>1</v>
      </c>
      <c r="E59" s="17"/>
      <c r="F59" s="17">
        <f>D59*E59</f>
        <v>0</v>
      </c>
      <c r="G59" s="39"/>
    </row>
    <row r="60" spans="1:7" x14ac:dyDescent="0.3">
      <c r="A60" s="100"/>
      <c r="B60" s="90"/>
      <c r="C60" s="91"/>
      <c r="D60" s="92"/>
      <c r="E60" s="87"/>
      <c r="F60" s="87"/>
      <c r="G60" s="88"/>
    </row>
    <row r="61" spans="1:7" x14ac:dyDescent="0.3">
      <c r="A61" s="115">
        <v>11</v>
      </c>
      <c r="B61" s="265" t="s">
        <v>163</v>
      </c>
      <c r="C61" s="266"/>
      <c r="D61" s="266"/>
      <c r="E61" s="266"/>
      <c r="F61" s="267"/>
      <c r="G61" s="74">
        <f>+F63</f>
        <v>0</v>
      </c>
    </row>
    <row r="62" spans="1:7" x14ac:dyDescent="0.3">
      <c r="A62" s="46"/>
      <c r="B62" s="47"/>
      <c r="C62" s="15"/>
      <c r="D62" s="16"/>
      <c r="E62" s="17"/>
      <c r="F62" s="17"/>
      <c r="G62" s="39"/>
    </row>
    <row r="63" spans="1:7" ht="55.2" x14ac:dyDescent="0.3">
      <c r="A63" s="46" t="s">
        <v>164</v>
      </c>
      <c r="B63" s="47" t="s">
        <v>189</v>
      </c>
      <c r="C63" s="15" t="s">
        <v>53</v>
      </c>
      <c r="D63" s="16">
        <v>1</v>
      </c>
      <c r="E63" s="17"/>
      <c r="F63" s="17">
        <f>+D63*E63</f>
        <v>0</v>
      </c>
      <c r="G63" s="39"/>
    </row>
    <row r="64" spans="1:7" x14ac:dyDescent="0.3">
      <c r="A64" s="46"/>
      <c r="B64" s="47"/>
      <c r="C64" s="15"/>
      <c r="D64" s="16"/>
      <c r="E64" s="17"/>
      <c r="F64" s="17"/>
      <c r="G64" s="39"/>
    </row>
    <row r="65" spans="1:10" x14ac:dyDescent="0.3">
      <c r="A65" s="78">
        <v>12</v>
      </c>
      <c r="B65" s="265" t="s">
        <v>190</v>
      </c>
      <c r="C65" s="266"/>
      <c r="D65" s="266"/>
      <c r="E65" s="266"/>
      <c r="F65" s="267"/>
      <c r="G65" s="74">
        <f>SUM(F67:F68)</f>
        <v>0</v>
      </c>
    </row>
    <row r="66" spans="1:10" x14ac:dyDescent="0.3">
      <c r="A66" s="80"/>
      <c r="B66" s="81"/>
      <c r="C66" s="82"/>
      <c r="D66" s="83"/>
      <c r="E66" s="84"/>
      <c r="F66" s="84"/>
      <c r="G66" s="85"/>
    </row>
    <row r="67" spans="1:10" ht="41.4" x14ac:dyDescent="0.3">
      <c r="A67" s="136" t="s">
        <v>167</v>
      </c>
      <c r="B67" s="47" t="s">
        <v>191</v>
      </c>
      <c r="C67" s="15" t="s">
        <v>53</v>
      </c>
      <c r="D67" s="16">
        <v>1</v>
      </c>
      <c r="E67" s="157"/>
      <c r="F67" s="157">
        <f>D67*E67</f>
        <v>0</v>
      </c>
      <c r="G67" s="158"/>
    </row>
    <row r="68" spans="1:10" ht="41.4" x14ac:dyDescent="0.3">
      <c r="A68" s="136" t="s">
        <v>192</v>
      </c>
      <c r="B68" s="47" t="s">
        <v>193</v>
      </c>
      <c r="C68" s="15" t="s">
        <v>53</v>
      </c>
      <c r="D68" s="16">
        <v>1</v>
      </c>
      <c r="E68" s="157"/>
      <c r="F68" s="157">
        <f>D68*E68</f>
        <v>0</v>
      </c>
      <c r="G68" s="158"/>
    </row>
    <row r="69" spans="1:10" ht="15" thickBot="1" x14ac:dyDescent="0.35">
      <c r="A69" s="46"/>
      <c r="B69" s="101"/>
      <c r="C69" s="102"/>
      <c r="D69" s="103"/>
      <c r="E69" s="17"/>
      <c r="F69" s="17"/>
      <c r="G69" s="39"/>
    </row>
    <row r="70" spans="1:10" x14ac:dyDescent="0.3">
      <c r="A70" s="93"/>
      <c r="B70" s="268"/>
      <c r="C70" s="269"/>
      <c r="D70" s="269"/>
      <c r="E70" s="269"/>
      <c r="F70" s="270"/>
      <c r="G70" s="271">
        <f>+SUM(G10:G69)</f>
        <v>0</v>
      </c>
    </row>
    <row r="71" spans="1:10" ht="15" thickBot="1" x14ac:dyDescent="0.35">
      <c r="A71" s="94"/>
      <c r="B71" s="273" t="s">
        <v>60</v>
      </c>
      <c r="C71" s="274"/>
      <c r="D71" s="274"/>
      <c r="E71" s="274"/>
      <c r="F71" s="275"/>
      <c r="G71" s="272"/>
      <c r="I71" s="175"/>
      <c r="J71" s="175"/>
    </row>
  </sheetData>
  <mergeCells count="23">
    <mergeCell ref="A9:G9"/>
    <mergeCell ref="B10:F10"/>
    <mergeCell ref="B15:F15"/>
    <mergeCell ref="B18:F18"/>
    <mergeCell ref="B27:F27"/>
    <mergeCell ref="F4:G4"/>
    <mergeCell ref="F5:G5"/>
    <mergeCell ref="A7:A8"/>
    <mergeCell ref="C7:C8"/>
    <mergeCell ref="D7:D8"/>
    <mergeCell ref="E7:E8"/>
    <mergeCell ref="F7:G7"/>
    <mergeCell ref="B31:F31"/>
    <mergeCell ref="B65:F65"/>
    <mergeCell ref="B70:F70"/>
    <mergeCell ref="G70:G71"/>
    <mergeCell ref="B71:F71"/>
    <mergeCell ref="B36:F36"/>
    <mergeCell ref="B45:F45"/>
    <mergeCell ref="B49:F49"/>
    <mergeCell ref="B53:F53"/>
    <mergeCell ref="B57:F57"/>
    <mergeCell ref="B61:F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E52" sqref="E52"/>
    </sheetView>
  </sheetViews>
  <sheetFormatPr defaultRowHeight="14.4" x14ac:dyDescent="0.3"/>
  <cols>
    <col min="2" max="2" width="42.33203125" customWidth="1"/>
    <col min="3" max="3" width="9.109375" customWidth="1"/>
    <col min="5" max="5" width="10.109375" customWidth="1"/>
    <col min="6" max="6" width="13" customWidth="1"/>
    <col min="7" max="7" width="12.44140625" customWidth="1"/>
  </cols>
  <sheetData>
    <row r="1" spans="1:7" ht="9" customHeight="1" x14ac:dyDescent="0.3">
      <c r="A1" s="70"/>
      <c r="E1" s="71"/>
      <c r="F1" s="71"/>
    </row>
    <row r="2" spans="1:7" x14ac:dyDescent="0.3">
      <c r="A2" s="4" t="s">
        <v>13</v>
      </c>
      <c r="B2" s="4"/>
      <c r="C2" s="113"/>
      <c r="D2" s="113"/>
      <c r="E2" s="5"/>
      <c r="F2" s="114"/>
      <c r="G2" s="113"/>
    </row>
    <row r="3" spans="1:7" x14ac:dyDescent="0.3">
      <c r="A3" s="1" t="s">
        <v>14</v>
      </c>
      <c r="B3" s="4" t="s">
        <v>15</v>
      </c>
      <c r="C3" s="3"/>
      <c r="E3" s="11"/>
      <c r="F3" s="2"/>
      <c r="G3" s="3"/>
    </row>
    <row r="4" spans="1:7" x14ac:dyDescent="0.3">
      <c r="A4" s="1" t="s">
        <v>16</v>
      </c>
      <c r="B4" s="4"/>
      <c r="C4" s="3"/>
      <c r="D4" s="3"/>
      <c r="E4" s="5"/>
      <c r="F4" s="255"/>
      <c r="G4" s="255"/>
    </row>
    <row r="5" spans="1:7" x14ac:dyDescent="0.3">
      <c r="A5" s="1" t="s">
        <v>17</v>
      </c>
      <c r="B5" s="4" t="s">
        <v>194</v>
      </c>
      <c r="C5" s="3"/>
      <c r="D5" s="3"/>
      <c r="E5" s="5"/>
      <c r="F5" s="255" t="s">
        <v>111</v>
      </c>
      <c r="G5" s="255"/>
    </row>
    <row r="6" spans="1:7" ht="15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276" t="s">
        <v>20</v>
      </c>
      <c r="B7" s="276" t="s">
        <v>21</v>
      </c>
      <c r="C7" s="276" t="s">
        <v>22</v>
      </c>
      <c r="D7" s="278" t="s">
        <v>23</v>
      </c>
      <c r="E7" s="280" t="s">
        <v>24</v>
      </c>
      <c r="F7" s="282" t="s">
        <v>25</v>
      </c>
      <c r="G7" s="283"/>
    </row>
    <row r="8" spans="1:7" ht="15" thickBot="1" x14ac:dyDescent="0.35">
      <c r="A8" s="277"/>
      <c r="B8" s="277" t="s">
        <v>26</v>
      </c>
      <c r="C8" s="277" t="s">
        <v>27</v>
      </c>
      <c r="D8" s="279" t="s">
        <v>28</v>
      </c>
      <c r="E8" s="281"/>
      <c r="F8" s="72" t="s">
        <v>29</v>
      </c>
      <c r="G8" s="73" t="s">
        <v>30</v>
      </c>
    </row>
    <row r="9" spans="1:7" x14ac:dyDescent="0.3">
      <c r="A9" s="284"/>
      <c r="B9" s="285"/>
      <c r="C9" s="285"/>
      <c r="D9" s="285"/>
      <c r="E9" s="285"/>
      <c r="F9" s="285"/>
      <c r="G9" s="286"/>
    </row>
    <row r="10" spans="1:7" x14ac:dyDescent="0.3">
      <c r="A10" s="115">
        <v>1</v>
      </c>
      <c r="B10" s="265" t="s">
        <v>31</v>
      </c>
      <c r="C10" s="266"/>
      <c r="D10" s="266"/>
      <c r="E10" s="266"/>
      <c r="F10" s="267"/>
      <c r="G10" s="74">
        <f>+SUM(F12:F12)</f>
        <v>0</v>
      </c>
    </row>
    <row r="11" spans="1:7" ht="12.75" customHeight="1" x14ac:dyDescent="0.3">
      <c r="A11" s="116"/>
      <c r="B11" s="117"/>
      <c r="C11" s="117"/>
      <c r="D11" s="117"/>
      <c r="E11" s="118"/>
      <c r="F11" s="118"/>
      <c r="G11" s="119"/>
    </row>
    <row r="12" spans="1:7" ht="51.75" customHeight="1" x14ac:dyDescent="0.3">
      <c r="A12" s="104" t="s">
        <v>32</v>
      </c>
      <c r="B12" s="137" t="s">
        <v>173</v>
      </c>
      <c r="C12" s="105" t="s">
        <v>113</v>
      </c>
      <c r="D12" s="106">
        <f>(22.11+10.34)</f>
        <v>32.450000000000003</v>
      </c>
      <c r="E12" s="17"/>
      <c r="F12" s="106">
        <f>D12*E12</f>
        <v>0</v>
      </c>
      <c r="G12" s="107"/>
    </row>
    <row r="13" spans="1:7" ht="13.5" customHeight="1" x14ac:dyDescent="0.3">
      <c r="A13" s="138"/>
      <c r="B13" s="139"/>
      <c r="C13" s="139"/>
      <c r="D13" s="139"/>
      <c r="E13" s="140"/>
      <c r="F13" s="140"/>
      <c r="G13" s="141"/>
    </row>
    <row r="14" spans="1:7" x14ac:dyDescent="0.3">
      <c r="A14" s="115">
        <v>2</v>
      </c>
      <c r="B14" s="287" t="s">
        <v>35</v>
      </c>
      <c r="C14" s="287"/>
      <c r="D14" s="287"/>
      <c r="E14" s="287"/>
      <c r="F14" s="287"/>
      <c r="G14" s="79">
        <f>SUM(F15:F17)</f>
        <v>0</v>
      </c>
    </row>
    <row r="15" spans="1:7" ht="84.75" customHeight="1" x14ac:dyDescent="0.3">
      <c r="A15" s="36" t="s">
        <v>36</v>
      </c>
      <c r="B15" s="37" t="s">
        <v>37</v>
      </c>
      <c r="C15" s="38"/>
      <c r="D15" s="16"/>
      <c r="E15" s="17"/>
      <c r="F15" s="17"/>
      <c r="G15" s="39"/>
    </row>
    <row r="16" spans="1:7" ht="15" x14ac:dyDescent="0.3">
      <c r="A16" s="13" t="s">
        <v>38</v>
      </c>
      <c r="B16" s="37" t="s">
        <v>39</v>
      </c>
      <c r="C16" s="15" t="s">
        <v>115</v>
      </c>
      <c r="D16" s="16">
        <f>((3.78*2+2.1*2+2.74+3.12*5)*0.2*0.4)</f>
        <v>2.4080000000000004</v>
      </c>
      <c r="E16" s="17"/>
      <c r="F16" s="17">
        <f t="shared" ref="F16:F17" si="0">D16*E16</f>
        <v>0</v>
      </c>
      <c r="G16" s="39"/>
    </row>
    <row r="17" spans="1:7" ht="20.25" customHeight="1" x14ac:dyDescent="0.3">
      <c r="A17" s="13" t="s">
        <v>40</v>
      </c>
      <c r="B17" s="37" t="s">
        <v>41</v>
      </c>
      <c r="C17" s="15" t="s">
        <v>115</v>
      </c>
      <c r="D17" s="16">
        <f>(11.8+6.55+8.55)*0.15</f>
        <v>4.0350000000000001</v>
      </c>
      <c r="E17" s="17"/>
      <c r="F17" s="17">
        <f t="shared" si="0"/>
        <v>0</v>
      </c>
      <c r="G17" s="39"/>
    </row>
    <row r="18" spans="1:7" ht="15.75" customHeight="1" x14ac:dyDescent="0.3">
      <c r="A18" s="120"/>
      <c r="B18" s="142"/>
      <c r="C18" s="142"/>
      <c r="D18" s="142"/>
      <c r="E18" s="143"/>
      <c r="F18" s="143"/>
      <c r="G18" s="144"/>
    </row>
    <row r="19" spans="1:7" x14ac:dyDescent="0.3">
      <c r="A19" s="115">
        <v>3</v>
      </c>
      <c r="B19" s="288" t="s">
        <v>195</v>
      </c>
      <c r="C19" s="289"/>
      <c r="D19" s="289"/>
      <c r="E19" s="289"/>
      <c r="F19" s="290"/>
      <c r="G19" s="74">
        <f>+SUM(F21:F23)</f>
        <v>0</v>
      </c>
    </row>
    <row r="20" spans="1:7" ht="15" customHeight="1" x14ac:dyDescent="0.3">
      <c r="A20" s="116"/>
      <c r="B20" s="117"/>
      <c r="C20" s="117"/>
      <c r="D20" s="117"/>
      <c r="E20" s="118"/>
      <c r="F20" s="118"/>
      <c r="G20" s="119"/>
    </row>
    <row r="21" spans="1:7" ht="67.5" customHeight="1" x14ac:dyDescent="0.3">
      <c r="A21" s="46" t="s">
        <v>43</v>
      </c>
      <c r="B21" s="47" t="s">
        <v>44</v>
      </c>
      <c r="C21" s="15" t="s">
        <v>113</v>
      </c>
      <c r="D21" s="16">
        <f>(15.97*3.5)-(1.2*1.1+0.6*0.6+0.8*1.1)</f>
        <v>53.335000000000001</v>
      </c>
      <c r="E21" s="17"/>
      <c r="F21" s="17">
        <f>+D21*E21</f>
        <v>0</v>
      </c>
      <c r="G21" s="39"/>
    </row>
    <row r="22" spans="1:7" ht="29.25" customHeight="1" x14ac:dyDescent="0.3">
      <c r="A22" s="46" t="s">
        <v>46</v>
      </c>
      <c r="B22" s="47" t="s">
        <v>47</v>
      </c>
      <c r="C22" s="15" t="s">
        <v>113</v>
      </c>
      <c r="D22" s="16">
        <f>((7.7*3.5)-(1.2*1.1+0.95*2.1+1.2*1.1))+D21</f>
        <v>75.650000000000006</v>
      </c>
      <c r="E22" s="17"/>
      <c r="F22" s="17">
        <f>+D22*E22</f>
        <v>0</v>
      </c>
      <c r="G22" s="39"/>
    </row>
    <row r="23" spans="1:7" ht="29.25" customHeight="1" x14ac:dyDescent="0.3">
      <c r="A23" s="46" t="s">
        <v>48</v>
      </c>
      <c r="B23" s="75" t="s">
        <v>49</v>
      </c>
      <c r="C23" s="15" t="s">
        <v>113</v>
      </c>
      <c r="D23" s="16">
        <f>(11.8+6.55+8.55)</f>
        <v>26.900000000000002</v>
      </c>
      <c r="E23" s="17"/>
      <c r="F23" s="17">
        <f>+D23*E23</f>
        <v>0</v>
      </c>
      <c r="G23" s="39"/>
    </row>
    <row r="24" spans="1:7" ht="17.25" customHeight="1" x14ac:dyDescent="0.3">
      <c r="A24" s="46"/>
      <c r="B24" s="47"/>
      <c r="C24" s="15"/>
      <c r="D24" s="16"/>
      <c r="E24" s="17"/>
      <c r="F24" s="17"/>
      <c r="G24" s="39"/>
    </row>
    <row r="25" spans="1:7" ht="19.5" customHeight="1" x14ac:dyDescent="0.3">
      <c r="A25" s="115">
        <v>4</v>
      </c>
      <c r="B25" s="265" t="s">
        <v>196</v>
      </c>
      <c r="C25" s="266"/>
      <c r="D25" s="266"/>
      <c r="E25" s="266"/>
      <c r="F25" s="267"/>
      <c r="G25" s="74">
        <f>+SUM(F27:F31)</f>
        <v>0</v>
      </c>
    </row>
    <row r="26" spans="1:7" ht="18" customHeight="1" x14ac:dyDescent="0.3">
      <c r="A26" s="46"/>
      <c r="B26" s="47"/>
      <c r="C26" s="133"/>
      <c r="D26" s="16"/>
      <c r="E26" s="17"/>
      <c r="F26" s="17"/>
      <c r="G26" s="39"/>
    </row>
    <row r="27" spans="1:7" ht="18" customHeight="1" x14ac:dyDescent="0.3">
      <c r="A27" s="76" t="s">
        <v>51</v>
      </c>
      <c r="B27" s="77" t="s">
        <v>146</v>
      </c>
      <c r="C27" s="15"/>
      <c r="D27" s="16"/>
      <c r="E27" s="17"/>
      <c r="F27" s="17"/>
      <c r="G27" s="39"/>
    </row>
    <row r="28" spans="1:7" ht="47.25" customHeight="1" x14ac:dyDescent="0.3">
      <c r="A28" s="46" t="s">
        <v>197</v>
      </c>
      <c r="B28" s="47" t="s">
        <v>182</v>
      </c>
      <c r="C28" s="15" t="s">
        <v>113</v>
      </c>
      <c r="D28" s="16">
        <f>4.64</f>
        <v>4.6399999999999997</v>
      </c>
      <c r="E28" s="17"/>
      <c r="F28" s="17">
        <f>D28*E28</f>
        <v>0</v>
      </c>
      <c r="G28" s="39"/>
    </row>
    <row r="29" spans="1:7" ht="18" customHeight="1" x14ac:dyDescent="0.3">
      <c r="A29" s="76" t="s">
        <v>67</v>
      </c>
      <c r="B29" s="77" t="s">
        <v>70</v>
      </c>
      <c r="C29" s="15"/>
      <c r="D29" s="16"/>
      <c r="E29" s="17"/>
      <c r="F29" s="17"/>
      <c r="G29" s="39"/>
    </row>
    <row r="30" spans="1:7" ht="68.25" customHeight="1" x14ac:dyDescent="0.3">
      <c r="A30" s="46" t="s">
        <v>198</v>
      </c>
      <c r="B30" s="47" t="s">
        <v>199</v>
      </c>
      <c r="C30" s="15" t="s">
        <v>151</v>
      </c>
      <c r="D30" s="16">
        <v>1</v>
      </c>
      <c r="E30" s="17"/>
      <c r="F30" s="17">
        <f t="shared" ref="F30" si="1">D30*E30</f>
        <v>0</v>
      </c>
      <c r="G30" s="39"/>
    </row>
    <row r="31" spans="1:7" ht="60" customHeight="1" x14ac:dyDescent="0.3">
      <c r="A31" s="46" t="s">
        <v>200</v>
      </c>
      <c r="B31" s="47" t="s">
        <v>76</v>
      </c>
      <c r="C31" s="15" t="s">
        <v>151</v>
      </c>
      <c r="D31" s="16">
        <v>1</v>
      </c>
      <c r="E31" s="17"/>
      <c r="F31" s="17">
        <f>D31*E31</f>
        <v>0</v>
      </c>
      <c r="G31" s="39"/>
    </row>
    <row r="32" spans="1:7" ht="18.75" customHeight="1" x14ac:dyDescent="0.3">
      <c r="A32" s="100"/>
      <c r="B32" s="90"/>
      <c r="C32" s="91"/>
      <c r="D32" s="92"/>
      <c r="E32" s="87"/>
      <c r="F32" s="87"/>
      <c r="G32" s="88"/>
    </row>
    <row r="33" spans="1:7" x14ac:dyDescent="0.3">
      <c r="A33" s="115">
        <v>5</v>
      </c>
      <c r="B33" s="265" t="s">
        <v>117</v>
      </c>
      <c r="C33" s="266"/>
      <c r="D33" s="266"/>
      <c r="E33" s="266"/>
      <c r="F33" s="267"/>
      <c r="G33" s="74">
        <f>+SUM(F35)</f>
        <v>0</v>
      </c>
    </row>
    <row r="34" spans="1:7" x14ac:dyDescent="0.3">
      <c r="A34" s="46"/>
      <c r="B34" s="47"/>
      <c r="C34" s="133"/>
      <c r="D34" s="16"/>
      <c r="E34" s="17"/>
      <c r="F34" s="17"/>
      <c r="G34" s="39"/>
    </row>
    <row r="35" spans="1:7" ht="59.25" customHeight="1" x14ac:dyDescent="0.3">
      <c r="A35" s="46" t="s">
        <v>55</v>
      </c>
      <c r="B35" s="47" t="s">
        <v>184</v>
      </c>
      <c r="C35" s="15" t="s">
        <v>53</v>
      </c>
      <c r="D35" s="16">
        <v>1</v>
      </c>
      <c r="E35" s="17"/>
      <c r="F35" s="17">
        <f>D35*E35</f>
        <v>0</v>
      </c>
      <c r="G35" s="39"/>
    </row>
    <row r="36" spans="1:7" ht="18" customHeight="1" x14ac:dyDescent="0.3">
      <c r="A36" s="99"/>
      <c r="B36" s="75"/>
      <c r="C36" s="96"/>
      <c r="D36" s="134"/>
      <c r="E36" s="97"/>
      <c r="F36" s="135"/>
      <c r="G36" s="98"/>
    </row>
    <row r="37" spans="1:7" ht="19.5" customHeight="1" x14ac:dyDescent="0.3">
      <c r="A37" s="115">
        <v>6</v>
      </c>
      <c r="B37" s="265" t="s">
        <v>119</v>
      </c>
      <c r="C37" s="266"/>
      <c r="D37" s="266"/>
      <c r="E37" s="266"/>
      <c r="F37" s="267"/>
      <c r="G37" s="74">
        <f>+SUM(F39)</f>
        <v>0</v>
      </c>
    </row>
    <row r="38" spans="1:7" ht="15" customHeight="1" x14ac:dyDescent="0.3">
      <c r="A38" s="46"/>
      <c r="B38" s="47"/>
      <c r="C38" s="15"/>
      <c r="D38" s="16"/>
      <c r="E38" s="17"/>
      <c r="F38" s="17"/>
      <c r="G38" s="39"/>
    </row>
    <row r="39" spans="1:7" ht="65.25" customHeight="1" x14ac:dyDescent="0.3">
      <c r="A39" s="46" t="s">
        <v>58</v>
      </c>
      <c r="B39" s="47" t="s">
        <v>201</v>
      </c>
      <c r="C39" s="15" t="s">
        <v>121</v>
      </c>
      <c r="D39" s="16">
        <v>1</v>
      </c>
      <c r="E39" s="17"/>
      <c r="F39" s="17">
        <f>D39*E39</f>
        <v>0</v>
      </c>
      <c r="G39" s="39"/>
    </row>
    <row r="40" spans="1:7" ht="21" customHeight="1" x14ac:dyDescent="0.3">
      <c r="A40" s="46"/>
      <c r="B40" s="47"/>
      <c r="C40" s="15"/>
      <c r="D40" s="16"/>
      <c r="E40" s="17"/>
      <c r="F40" s="17"/>
      <c r="G40" s="39"/>
    </row>
    <row r="41" spans="1:7" ht="18.75" customHeight="1" x14ac:dyDescent="0.3">
      <c r="A41" s="115">
        <v>7</v>
      </c>
      <c r="B41" s="265" t="s">
        <v>202</v>
      </c>
      <c r="C41" s="266"/>
      <c r="D41" s="266"/>
      <c r="E41" s="266"/>
      <c r="F41" s="267"/>
      <c r="G41" s="74">
        <f>+F58</f>
        <v>0</v>
      </c>
    </row>
    <row r="42" spans="1:7" ht="19.5" customHeight="1" x14ac:dyDescent="0.3">
      <c r="A42" s="95"/>
      <c r="B42" s="81"/>
      <c r="C42" s="82"/>
      <c r="D42" s="83"/>
      <c r="E42" s="84"/>
      <c r="F42" s="84"/>
      <c r="G42" s="85"/>
    </row>
    <row r="43" spans="1:7" ht="66.75" customHeight="1" x14ac:dyDescent="0.3">
      <c r="A43" s="46" t="s">
        <v>79</v>
      </c>
      <c r="B43" s="75" t="s">
        <v>188</v>
      </c>
      <c r="C43" s="15" t="s">
        <v>53</v>
      </c>
      <c r="D43" s="16">
        <v>1</v>
      </c>
      <c r="E43" s="17"/>
      <c r="F43" s="17">
        <f>D43*E43</f>
        <v>0</v>
      </c>
      <c r="G43" s="39"/>
    </row>
    <row r="44" spans="1:7" ht="17.25" customHeight="1" x14ac:dyDescent="0.3">
      <c r="A44" s="46"/>
      <c r="B44" s="47"/>
      <c r="C44" s="15"/>
      <c r="D44" s="16"/>
      <c r="E44" s="17"/>
      <c r="F44" s="17"/>
      <c r="G44" s="39"/>
    </row>
    <row r="45" spans="1:7" ht="17.25" customHeight="1" x14ac:dyDescent="0.3">
      <c r="A45" s="115">
        <v>8</v>
      </c>
      <c r="B45" s="265" t="s">
        <v>203</v>
      </c>
      <c r="C45" s="266"/>
      <c r="D45" s="266"/>
      <c r="E45" s="266"/>
      <c r="F45" s="267"/>
      <c r="G45" s="74">
        <f>+F47</f>
        <v>0</v>
      </c>
    </row>
    <row r="46" spans="1:7" ht="17.25" customHeight="1" x14ac:dyDescent="0.3">
      <c r="A46" s="46"/>
      <c r="B46" s="47"/>
      <c r="C46" s="15"/>
      <c r="D46" s="16"/>
      <c r="E46" s="17"/>
      <c r="F46" s="17"/>
      <c r="G46" s="39"/>
    </row>
    <row r="47" spans="1:7" ht="55.5" customHeight="1" x14ac:dyDescent="0.3">
      <c r="A47" s="46" t="s">
        <v>81</v>
      </c>
      <c r="B47" s="47" t="s">
        <v>189</v>
      </c>
      <c r="C47" s="15" t="s">
        <v>53</v>
      </c>
      <c r="D47" s="16">
        <v>1</v>
      </c>
      <c r="E47" s="17"/>
      <c r="F47" s="17">
        <f>+D47*E47</f>
        <v>0</v>
      </c>
      <c r="G47" s="39"/>
    </row>
    <row r="48" spans="1:7" ht="19.5" customHeight="1" thickBot="1" x14ac:dyDescent="0.35">
      <c r="A48" s="108"/>
      <c r="B48" s="145"/>
      <c r="C48" s="105"/>
      <c r="D48" s="146"/>
      <c r="E48" s="106"/>
      <c r="F48" s="106"/>
      <c r="G48" s="109"/>
    </row>
    <row r="49" spans="1:7" x14ac:dyDescent="0.3">
      <c r="A49" s="93"/>
      <c r="B49" s="268"/>
      <c r="C49" s="269"/>
      <c r="D49" s="269"/>
      <c r="E49" s="269"/>
      <c r="F49" s="270"/>
      <c r="G49" s="271">
        <f>+SUM(G10:G48)</f>
        <v>0</v>
      </c>
    </row>
    <row r="50" spans="1:7" ht="15" thickBot="1" x14ac:dyDescent="0.35">
      <c r="A50" s="94"/>
      <c r="B50" s="273" t="s">
        <v>60</v>
      </c>
      <c r="C50" s="274"/>
      <c r="D50" s="274"/>
      <c r="E50" s="274"/>
      <c r="F50" s="275"/>
      <c r="G50" s="272"/>
    </row>
  </sheetData>
  <mergeCells count="20">
    <mergeCell ref="A9:G9"/>
    <mergeCell ref="F4:G4"/>
    <mergeCell ref="F5:G5"/>
    <mergeCell ref="A7:A8"/>
    <mergeCell ref="B7:B8"/>
    <mergeCell ref="C7:C8"/>
    <mergeCell ref="D7:D8"/>
    <mergeCell ref="E7:E8"/>
    <mergeCell ref="F7:G7"/>
    <mergeCell ref="B10:F10"/>
    <mergeCell ref="B14:F14"/>
    <mergeCell ref="B19:F19"/>
    <mergeCell ref="B25:F25"/>
    <mergeCell ref="G49:G50"/>
    <mergeCell ref="B50:F50"/>
    <mergeCell ref="B33:F33"/>
    <mergeCell ref="B37:F37"/>
    <mergeCell ref="B41:F41"/>
    <mergeCell ref="B45:F45"/>
    <mergeCell ref="B49:F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I78" sqref="I78"/>
    </sheetView>
  </sheetViews>
  <sheetFormatPr defaultRowHeight="14.4" x14ac:dyDescent="0.3"/>
  <cols>
    <col min="2" max="2" width="39.5546875" customWidth="1"/>
    <col min="5" max="5" width="11.88671875" customWidth="1"/>
    <col min="6" max="6" width="13.109375" customWidth="1"/>
    <col min="7" max="7" width="13.44140625" customWidth="1"/>
    <col min="9" max="9" width="11.44140625" customWidth="1"/>
  </cols>
  <sheetData>
    <row r="1" spans="1:7" x14ac:dyDescent="0.3">
      <c r="A1" s="70"/>
      <c r="E1" s="71"/>
      <c r="F1" s="71"/>
    </row>
    <row r="2" spans="1:7" x14ac:dyDescent="0.3">
      <c r="A2" s="4" t="s">
        <v>13</v>
      </c>
      <c r="B2" s="4"/>
      <c r="C2" s="113"/>
      <c r="D2" s="113"/>
      <c r="E2" s="5"/>
      <c r="F2" s="114"/>
      <c r="G2" s="113"/>
    </row>
    <row r="3" spans="1:7" x14ac:dyDescent="0.3">
      <c r="A3" s="1" t="s">
        <v>14</v>
      </c>
      <c r="B3" s="4" t="s">
        <v>15</v>
      </c>
      <c r="C3" s="3"/>
      <c r="E3" s="11"/>
      <c r="F3" s="2"/>
      <c r="G3" s="3"/>
    </row>
    <row r="4" spans="1:7" x14ac:dyDescent="0.3">
      <c r="A4" s="1" t="s">
        <v>16</v>
      </c>
      <c r="B4" s="4"/>
      <c r="C4" s="3"/>
      <c r="D4" s="3"/>
      <c r="E4" s="5"/>
      <c r="F4" s="255"/>
      <c r="G4" s="255"/>
    </row>
    <row r="5" spans="1:7" x14ac:dyDescent="0.3">
      <c r="A5" s="1" t="s">
        <v>17</v>
      </c>
      <c r="B5" s="4" t="s">
        <v>204</v>
      </c>
      <c r="C5" s="3"/>
      <c r="D5" s="3"/>
      <c r="E5" s="5"/>
      <c r="F5" s="255" t="s">
        <v>111</v>
      </c>
      <c r="G5" s="255"/>
    </row>
    <row r="6" spans="1:7" ht="15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276" t="s">
        <v>20</v>
      </c>
      <c r="B7" s="276" t="s">
        <v>21</v>
      </c>
      <c r="C7" s="276" t="s">
        <v>22</v>
      </c>
      <c r="D7" s="278" t="s">
        <v>23</v>
      </c>
      <c r="E7" s="280" t="s">
        <v>24</v>
      </c>
      <c r="F7" s="282" t="s">
        <v>25</v>
      </c>
      <c r="G7" s="283"/>
    </row>
    <row r="8" spans="1:7" ht="15" thickBot="1" x14ac:dyDescent="0.35">
      <c r="A8" s="277"/>
      <c r="B8" s="277" t="s">
        <v>26</v>
      </c>
      <c r="C8" s="277" t="s">
        <v>27</v>
      </c>
      <c r="D8" s="279" t="s">
        <v>28</v>
      </c>
      <c r="E8" s="281"/>
      <c r="F8" s="72" t="s">
        <v>29</v>
      </c>
      <c r="G8" s="73" t="s">
        <v>30</v>
      </c>
    </row>
    <row r="9" spans="1:7" x14ac:dyDescent="0.3">
      <c r="A9" s="284"/>
      <c r="B9" s="285"/>
      <c r="C9" s="285"/>
      <c r="D9" s="285"/>
      <c r="E9" s="285"/>
      <c r="F9" s="285"/>
      <c r="G9" s="286"/>
    </row>
    <row r="10" spans="1:7" x14ac:dyDescent="0.3">
      <c r="A10" s="115">
        <v>1</v>
      </c>
      <c r="B10" s="265" t="s">
        <v>31</v>
      </c>
      <c r="C10" s="266"/>
      <c r="D10" s="266"/>
      <c r="E10" s="266"/>
      <c r="F10" s="267"/>
      <c r="G10" s="74">
        <f>+SUM(F12:F15)</f>
        <v>0</v>
      </c>
    </row>
    <row r="11" spans="1:7" x14ac:dyDescent="0.3">
      <c r="A11" s="116"/>
      <c r="B11" s="117"/>
      <c r="C11" s="117"/>
      <c r="D11" s="117"/>
      <c r="E11" s="118"/>
      <c r="F11" s="118"/>
      <c r="G11" s="119"/>
    </row>
    <row r="12" spans="1:7" ht="55.2" x14ac:dyDescent="0.3">
      <c r="A12" s="13" t="s">
        <v>32</v>
      </c>
      <c r="B12" s="14" t="s">
        <v>205</v>
      </c>
      <c r="C12" s="15" t="s">
        <v>115</v>
      </c>
      <c r="D12" s="16">
        <f>(31.95+13.51)*0.15</f>
        <v>6.819</v>
      </c>
      <c r="E12" s="17"/>
      <c r="F12" s="17">
        <f>+D12*E12</f>
        <v>0</v>
      </c>
      <c r="G12" s="18"/>
    </row>
    <row r="13" spans="1:7" ht="56.25" customHeight="1" x14ac:dyDescent="0.3">
      <c r="A13" s="13" t="s">
        <v>62</v>
      </c>
      <c r="B13" s="14" t="s">
        <v>173</v>
      </c>
      <c r="C13" s="15" t="s">
        <v>113</v>
      </c>
      <c r="D13" s="16">
        <f>(15.68)</f>
        <v>15.68</v>
      </c>
      <c r="E13" s="17"/>
      <c r="F13" s="17">
        <f>D13*E13</f>
        <v>0</v>
      </c>
      <c r="G13" s="18"/>
    </row>
    <row r="14" spans="1:7" ht="56.25" customHeight="1" x14ac:dyDescent="0.3">
      <c r="A14" s="13" t="s">
        <v>100</v>
      </c>
      <c r="B14" s="14" t="s">
        <v>206</v>
      </c>
      <c r="C14" s="15" t="s">
        <v>113</v>
      </c>
      <c r="D14" s="16">
        <f>2.9</f>
        <v>2.9</v>
      </c>
      <c r="E14" s="17"/>
      <c r="F14" s="17">
        <f>D14*E14</f>
        <v>0</v>
      </c>
      <c r="G14" s="18"/>
    </row>
    <row r="15" spans="1:7" ht="56.25" customHeight="1" x14ac:dyDescent="0.3">
      <c r="A15" s="13" t="s">
        <v>101</v>
      </c>
      <c r="B15" s="14" t="s">
        <v>112</v>
      </c>
      <c r="C15" s="15" t="s">
        <v>113</v>
      </c>
      <c r="D15" s="16">
        <f>(1*1+1*1)</f>
        <v>2</v>
      </c>
      <c r="E15" s="17"/>
      <c r="F15" s="17">
        <f>D15*E15</f>
        <v>0</v>
      </c>
      <c r="G15" s="18"/>
    </row>
    <row r="16" spans="1:7" ht="21.75" customHeight="1" x14ac:dyDescent="0.3">
      <c r="A16" s="13"/>
      <c r="B16" s="14"/>
      <c r="C16" s="15"/>
      <c r="D16" s="16"/>
      <c r="E16" s="17"/>
      <c r="F16" s="17"/>
      <c r="G16" s="18"/>
    </row>
    <row r="17" spans="1:7" ht="23.25" customHeight="1" x14ac:dyDescent="0.3">
      <c r="A17" s="78">
        <v>2</v>
      </c>
      <c r="B17" s="287" t="s">
        <v>131</v>
      </c>
      <c r="C17" s="287"/>
      <c r="D17" s="287"/>
      <c r="E17" s="287"/>
      <c r="F17" s="287"/>
      <c r="G17" s="174">
        <f>F19</f>
        <v>0</v>
      </c>
    </row>
    <row r="18" spans="1:7" ht="18.75" customHeight="1" x14ac:dyDescent="0.3">
      <c r="A18" s="176"/>
      <c r="B18" s="125"/>
      <c r="C18" s="125"/>
      <c r="D18" s="125"/>
      <c r="E18" s="125"/>
      <c r="F18" s="125"/>
      <c r="G18" s="177"/>
    </row>
    <row r="19" spans="1:7" ht="48" customHeight="1" x14ac:dyDescent="0.3">
      <c r="A19" s="164" t="s">
        <v>36</v>
      </c>
      <c r="B19" s="165" t="s">
        <v>132</v>
      </c>
      <c r="C19" s="166" t="s">
        <v>115</v>
      </c>
      <c r="D19" s="156">
        <f>(0.8*0.8*0.4*4)</f>
        <v>1.0240000000000002</v>
      </c>
      <c r="E19" s="157"/>
      <c r="F19" s="157">
        <f>D19*E19</f>
        <v>0</v>
      </c>
      <c r="G19" s="167"/>
    </row>
    <row r="20" spans="1:7" ht="14.25" customHeight="1" x14ac:dyDescent="0.3">
      <c r="A20" s="13"/>
      <c r="B20" s="14"/>
      <c r="C20" s="15"/>
      <c r="D20" s="16"/>
      <c r="E20" s="17"/>
      <c r="F20" s="17"/>
      <c r="G20" s="18"/>
    </row>
    <row r="21" spans="1:7" x14ac:dyDescent="0.3">
      <c r="A21" s="115">
        <v>3</v>
      </c>
      <c r="B21" s="265" t="s">
        <v>134</v>
      </c>
      <c r="C21" s="266"/>
      <c r="D21" s="266"/>
      <c r="E21" s="266"/>
      <c r="F21" s="267"/>
      <c r="G21" s="74">
        <f>SUM(F24:F28)</f>
        <v>0</v>
      </c>
    </row>
    <row r="22" spans="1:7" x14ac:dyDescent="0.3">
      <c r="A22" s="147"/>
      <c r="B22" s="125"/>
      <c r="C22" s="126"/>
      <c r="D22" s="126"/>
      <c r="E22" s="126"/>
      <c r="F22" s="127"/>
      <c r="G22" s="128"/>
    </row>
    <row r="23" spans="1:7" ht="51" customHeight="1" x14ac:dyDescent="0.3">
      <c r="A23" s="36" t="s">
        <v>43</v>
      </c>
      <c r="B23" s="37" t="s">
        <v>174</v>
      </c>
      <c r="C23" s="15" t="s">
        <v>113</v>
      </c>
      <c r="D23" s="15">
        <f>(0.6*0.6*4)</f>
        <v>1.44</v>
      </c>
      <c r="E23" s="118"/>
      <c r="F23" s="118">
        <f>D23*E23</f>
        <v>0</v>
      </c>
      <c r="G23" s="119"/>
    </row>
    <row r="24" spans="1:7" ht="98.25" customHeight="1" x14ac:dyDescent="0.3">
      <c r="A24" s="36" t="s">
        <v>46</v>
      </c>
      <c r="B24" s="37" t="s">
        <v>37</v>
      </c>
      <c r="C24" s="38"/>
      <c r="D24" s="16"/>
      <c r="E24" s="17"/>
      <c r="F24" s="17"/>
      <c r="G24" s="39"/>
    </row>
    <row r="25" spans="1:7" ht="21" customHeight="1" x14ac:dyDescent="0.3">
      <c r="A25" s="13" t="s">
        <v>175</v>
      </c>
      <c r="B25" s="37" t="s">
        <v>137</v>
      </c>
      <c r="C25" s="15" t="s">
        <v>115</v>
      </c>
      <c r="D25" s="16">
        <f>(0.5*0.5*0.4*4)</f>
        <v>0.4</v>
      </c>
      <c r="E25" s="17"/>
      <c r="F25" s="17">
        <f>D25*E25</f>
        <v>0</v>
      </c>
      <c r="G25" s="39"/>
    </row>
    <row r="26" spans="1:7" ht="20.25" customHeight="1" x14ac:dyDescent="0.3">
      <c r="A26" s="13" t="s">
        <v>176</v>
      </c>
      <c r="B26" s="37" t="s">
        <v>139</v>
      </c>
      <c r="C26" s="15" t="s">
        <v>115</v>
      </c>
      <c r="D26" s="16">
        <f>(0.2*0.2*3.24*4)</f>
        <v>0.51840000000000008</v>
      </c>
      <c r="E26" s="17"/>
      <c r="F26" s="17">
        <f>D26*E26</f>
        <v>0</v>
      </c>
      <c r="G26" s="39"/>
    </row>
    <row r="27" spans="1:7" ht="15" x14ac:dyDescent="0.3">
      <c r="A27" s="13" t="s">
        <v>177</v>
      </c>
      <c r="B27" s="37" t="s">
        <v>39</v>
      </c>
      <c r="C27" s="15" t="s">
        <v>115</v>
      </c>
      <c r="D27" s="16">
        <f>((1.45*2+3.05*2+3.12*2+3.35*2+3.42*2+2.46*2+3.85*3+3.65*3+1.93*2)*0.15*0.3)</f>
        <v>2.7027000000000001</v>
      </c>
      <c r="E27" s="17"/>
      <c r="F27" s="17">
        <f>D27*E27</f>
        <v>0</v>
      </c>
      <c r="G27" s="39"/>
    </row>
    <row r="28" spans="1:7" ht="15" x14ac:dyDescent="0.3">
      <c r="A28" s="13" t="s">
        <v>178</v>
      </c>
      <c r="B28" s="37" t="s">
        <v>41</v>
      </c>
      <c r="C28" s="15" t="s">
        <v>115</v>
      </c>
      <c r="D28" s="16">
        <f>((11.74+11.39+12.9+12.48+3.32)*0.15)</f>
        <v>7.7745000000000006</v>
      </c>
      <c r="E28" s="17"/>
      <c r="F28" s="17">
        <f>D28*E28</f>
        <v>0</v>
      </c>
      <c r="G28" s="39"/>
    </row>
    <row r="29" spans="1:7" x14ac:dyDescent="0.3">
      <c r="A29" s="13"/>
      <c r="B29" s="37"/>
      <c r="C29" s="15"/>
      <c r="D29" s="16"/>
      <c r="E29" s="17"/>
      <c r="F29" s="17"/>
      <c r="G29" s="39"/>
    </row>
    <row r="30" spans="1:7" x14ac:dyDescent="0.3">
      <c r="A30" s="115">
        <v>4</v>
      </c>
      <c r="B30" s="265" t="s">
        <v>142</v>
      </c>
      <c r="C30" s="266"/>
      <c r="D30" s="266"/>
      <c r="E30" s="266"/>
      <c r="F30" s="267"/>
      <c r="G30" s="74">
        <f>+SUM(F32:F33)</f>
        <v>0</v>
      </c>
    </row>
    <row r="31" spans="1:7" x14ac:dyDescent="0.3">
      <c r="A31" s="116"/>
      <c r="B31" s="117"/>
      <c r="C31" s="117"/>
      <c r="D31" s="117"/>
      <c r="E31" s="118"/>
      <c r="F31" s="118"/>
      <c r="G31" s="119"/>
    </row>
    <row r="32" spans="1:7" ht="69" customHeight="1" x14ac:dyDescent="0.3">
      <c r="A32" s="46" t="s">
        <v>51</v>
      </c>
      <c r="B32" s="47" t="s">
        <v>179</v>
      </c>
      <c r="C32" s="15" t="s">
        <v>113</v>
      </c>
      <c r="D32" s="16">
        <f>((1.45*2.65))</f>
        <v>3.8424999999999998</v>
      </c>
      <c r="E32" s="17"/>
      <c r="F32" s="17">
        <f>D32*E32</f>
        <v>0</v>
      </c>
      <c r="G32" s="39"/>
    </row>
    <row r="33" spans="1:7" ht="78.75" customHeight="1" x14ac:dyDescent="0.3">
      <c r="A33" s="46" t="s">
        <v>67</v>
      </c>
      <c r="B33" s="47" t="s">
        <v>207</v>
      </c>
      <c r="C33" s="15" t="s">
        <v>113</v>
      </c>
      <c r="D33" s="16">
        <f>((3.05*2+3.12*2+3.35*2+3.85*3+3.65)*0.4)</f>
        <v>13.696000000000002</v>
      </c>
      <c r="E33" s="17"/>
      <c r="F33" s="17">
        <f>D33*E33</f>
        <v>0</v>
      </c>
      <c r="G33" s="39"/>
    </row>
    <row r="34" spans="1:7" x14ac:dyDescent="0.3">
      <c r="A34" s="120"/>
      <c r="B34" s="142"/>
      <c r="C34" s="142"/>
      <c r="D34" s="142"/>
      <c r="E34" s="143"/>
      <c r="F34" s="143"/>
      <c r="G34" s="144"/>
    </row>
    <row r="35" spans="1:7" x14ac:dyDescent="0.3">
      <c r="A35" s="115">
        <v>5</v>
      </c>
      <c r="B35" s="265" t="s">
        <v>143</v>
      </c>
      <c r="C35" s="266"/>
      <c r="D35" s="266"/>
      <c r="E35" s="266"/>
      <c r="F35" s="267"/>
      <c r="G35" s="74">
        <f>SUM(F37:F39)</f>
        <v>0</v>
      </c>
    </row>
    <row r="36" spans="1:7" x14ac:dyDescent="0.3">
      <c r="A36" s="46"/>
      <c r="B36" s="47"/>
      <c r="C36" s="15"/>
      <c r="D36" s="16"/>
      <c r="E36" s="17"/>
      <c r="F36" s="17"/>
      <c r="G36" s="39"/>
    </row>
    <row r="37" spans="1:7" ht="81.75" customHeight="1" x14ac:dyDescent="0.3">
      <c r="A37" s="46" t="s">
        <v>55</v>
      </c>
      <c r="B37" s="47" t="s">
        <v>44</v>
      </c>
      <c r="C37" s="15" t="s">
        <v>113</v>
      </c>
      <c r="D37" s="16">
        <f>((10.03)*3.24)-(1.4*1+0.85*2.1+1*1)</f>
        <v>28.312200000000001</v>
      </c>
      <c r="E37" s="17"/>
      <c r="F37" s="17">
        <f>+D37*E37</f>
        <v>0</v>
      </c>
      <c r="G37" s="39"/>
    </row>
    <row r="38" spans="1:7" ht="60.75" customHeight="1" x14ac:dyDescent="0.3">
      <c r="A38" s="46" t="s">
        <v>106</v>
      </c>
      <c r="B38" s="47" t="s">
        <v>208</v>
      </c>
      <c r="C38" s="15" t="s">
        <v>113</v>
      </c>
      <c r="D38" s="16">
        <f>13.11</f>
        <v>13.11</v>
      </c>
      <c r="E38" s="17"/>
      <c r="F38" s="17">
        <f>D38*E38</f>
        <v>0</v>
      </c>
      <c r="G38" s="39"/>
    </row>
    <row r="39" spans="1:7" ht="46.5" customHeight="1" x14ac:dyDescent="0.3">
      <c r="A39" s="46" t="s">
        <v>144</v>
      </c>
      <c r="B39" s="47" t="s">
        <v>209</v>
      </c>
      <c r="C39" s="15" t="s">
        <v>113</v>
      </c>
      <c r="D39" s="16">
        <f>D37</f>
        <v>28.312200000000001</v>
      </c>
      <c r="E39" s="17"/>
      <c r="F39" s="17">
        <f>+D39*E39</f>
        <v>0</v>
      </c>
      <c r="G39" s="39"/>
    </row>
    <row r="40" spans="1:7" x14ac:dyDescent="0.3">
      <c r="A40" s="46"/>
      <c r="B40" s="47"/>
      <c r="C40" s="15"/>
      <c r="D40" s="16"/>
      <c r="E40" s="17"/>
      <c r="F40" s="17"/>
      <c r="G40" s="39"/>
    </row>
    <row r="41" spans="1:7" x14ac:dyDescent="0.3">
      <c r="A41" s="115">
        <v>6</v>
      </c>
      <c r="B41" s="265" t="s">
        <v>181</v>
      </c>
      <c r="C41" s="266"/>
      <c r="D41" s="266"/>
      <c r="E41" s="266"/>
      <c r="F41" s="267"/>
      <c r="G41" s="74">
        <f>+SUM(F43:F49)</f>
        <v>0</v>
      </c>
    </row>
    <row r="42" spans="1:7" x14ac:dyDescent="0.3">
      <c r="A42" s="46"/>
      <c r="B42" s="47"/>
      <c r="C42" s="133"/>
      <c r="D42" s="16"/>
      <c r="E42" s="17"/>
      <c r="F42" s="17"/>
      <c r="G42" s="39"/>
    </row>
    <row r="43" spans="1:7" x14ac:dyDescent="0.3">
      <c r="A43" s="76" t="s">
        <v>58</v>
      </c>
      <c r="B43" s="77" t="s">
        <v>146</v>
      </c>
      <c r="C43" s="15"/>
      <c r="D43" s="16"/>
      <c r="E43" s="17"/>
      <c r="F43" s="17"/>
      <c r="G43" s="39"/>
    </row>
    <row r="44" spans="1:7" ht="71.25" customHeight="1" x14ac:dyDescent="0.3">
      <c r="A44" s="46" t="s">
        <v>147</v>
      </c>
      <c r="B44" s="47" t="s">
        <v>210</v>
      </c>
      <c r="C44" s="15" t="s">
        <v>113</v>
      </c>
      <c r="D44" s="16">
        <f>((1.45*4+2.46*3)*3.24-(0.8+2+0.6*0.6))</f>
        <v>39.543200000000006</v>
      </c>
      <c r="E44" s="17"/>
      <c r="F44" s="17">
        <f>D44*E44</f>
        <v>0</v>
      </c>
      <c r="G44" s="39"/>
    </row>
    <row r="45" spans="1:7" ht="57.75" customHeight="1" x14ac:dyDescent="0.3">
      <c r="A45" s="46" t="s">
        <v>211</v>
      </c>
      <c r="B45" s="47" t="s">
        <v>182</v>
      </c>
      <c r="C45" s="15" t="s">
        <v>113</v>
      </c>
      <c r="D45" s="16">
        <f>3.57</f>
        <v>3.57</v>
      </c>
      <c r="E45" s="17"/>
      <c r="F45" s="17">
        <f>D45*E45</f>
        <v>0</v>
      </c>
      <c r="G45" s="39"/>
    </row>
    <row r="46" spans="1:7" ht="18" customHeight="1" x14ac:dyDescent="0.3">
      <c r="A46" s="76" t="s">
        <v>149</v>
      </c>
      <c r="B46" s="77" t="s">
        <v>70</v>
      </c>
      <c r="C46" s="15"/>
      <c r="D46" s="16"/>
      <c r="E46" s="17"/>
      <c r="F46" s="17"/>
      <c r="G46" s="39"/>
    </row>
    <row r="47" spans="1:7" ht="69.75" customHeight="1" x14ac:dyDescent="0.3">
      <c r="A47" s="46" t="s">
        <v>150</v>
      </c>
      <c r="B47" s="47" t="s">
        <v>72</v>
      </c>
      <c r="C47" s="15" t="s">
        <v>151</v>
      </c>
      <c r="D47" s="16">
        <v>1</v>
      </c>
      <c r="E47" s="17"/>
      <c r="F47" s="17">
        <f>D47*E47</f>
        <v>0</v>
      </c>
      <c r="G47" s="39"/>
    </row>
    <row r="48" spans="1:7" ht="68.25" customHeight="1" x14ac:dyDescent="0.3">
      <c r="A48" s="46" t="s">
        <v>152</v>
      </c>
      <c r="B48" s="47" t="s">
        <v>74</v>
      </c>
      <c r="C48" s="15" t="s">
        <v>151</v>
      </c>
      <c r="D48" s="16">
        <v>1</v>
      </c>
      <c r="E48" s="17"/>
      <c r="F48" s="17">
        <f>D48*E48</f>
        <v>0</v>
      </c>
      <c r="G48" s="39"/>
    </row>
    <row r="49" spans="1:7" ht="73.5" customHeight="1" x14ac:dyDescent="0.3">
      <c r="A49" s="46" t="s">
        <v>153</v>
      </c>
      <c r="B49" s="47" t="s">
        <v>76</v>
      </c>
      <c r="C49" s="15" t="s">
        <v>151</v>
      </c>
      <c r="D49" s="16">
        <v>1</v>
      </c>
      <c r="E49" s="17"/>
      <c r="F49" s="17">
        <f>D49*E49</f>
        <v>0</v>
      </c>
      <c r="G49" s="39"/>
    </row>
    <row r="50" spans="1:7" ht="16.5" customHeight="1" x14ac:dyDescent="0.3">
      <c r="A50" s="148"/>
      <c r="B50" s="90"/>
      <c r="C50" s="91"/>
      <c r="D50" s="92"/>
      <c r="E50" s="87"/>
      <c r="F50" s="87"/>
      <c r="G50" s="88"/>
    </row>
    <row r="51" spans="1:7" x14ac:dyDescent="0.3">
      <c r="A51" s="115">
        <v>7</v>
      </c>
      <c r="B51" s="265" t="s">
        <v>78</v>
      </c>
      <c r="C51" s="266"/>
      <c r="D51" s="266"/>
      <c r="E51" s="266"/>
      <c r="F51" s="267"/>
      <c r="G51" s="74">
        <f>+SUM(F53:F53)</f>
        <v>0</v>
      </c>
    </row>
    <row r="52" spans="1:7" ht="9.75" customHeight="1" x14ac:dyDescent="0.3">
      <c r="A52" s="46"/>
      <c r="B52" s="47"/>
      <c r="C52" s="133"/>
      <c r="D52" s="16"/>
      <c r="E52" s="17"/>
      <c r="F52" s="17"/>
      <c r="G52" s="39"/>
    </row>
    <row r="53" spans="1:7" ht="64.5" customHeight="1" x14ac:dyDescent="0.3">
      <c r="A53" s="46" t="s">
        <v>79</v>
      </c>
      <c r="B53" s="47" t="s">
        <v>184</v>
      </c>
      <c r="C53" s="15" t="s">
        <v>53</v>
      </c>
      <c r="D53" s="16">
        <v>1</v>
      </c>
      <c r="E53" s="17"/>
      <c r="F53" s="17">
        <f>D53*E53</f>
        <v>0</v>
      </c>
      <c r="G53" s="39"/>
    </row>
    <row r="54" spans="1:7" x14ac:dyDescent="0.3">
      <c r="A54" s="46"/>
      <c r="B54" s="47"/>
      <c r="C54" s="133"/>
      <c r="D54" s="16"/>
      <c r="E54" s="17"/>
      <c r="F54" s="17"/>
      <c r="G54" s="39"/>
    </row>
    <row r="55" spans="1:7" x14ac:dyDescent="0.3">
      <c r="A55" s="115">
        <v>8</v>
      </c>
      <c r="B55" s="265" t="s">
        <v>155</v>
      </c>
      <c r="C55" s="266"/>
      <c r="D55" s="266"/>
      <c r="E55" s="266"/>
      <c r="F55" s="267"/>
      <c r="G55" s="74">
        <f>+SUM(F57)</f>
        <v>0</v>
      </c>
    </row>
    <row r="56" spans="1:7" ht="15" customHeight="1" x14ac:dyDescent="0.3">
      <c r="A56" s="46"/>
      <c r="B56" s="47"/>
      <c r="C56" s="133"/>
      <c r="D56" s="16"/>
      <c r="E56" s="17"/>
      <c r="F56" s="17"/>
      <c r="G56" s="39"/>
    </row>
    <row r="57" spans="1:7" ht="54" customHeight="1" x14ac:dyDescent="0.3">
      <c r="A57" s="46" t="s">
        <v>81</v>
      </c>
      <c r="B57" s="47" t="s">
        <v>186</v>
      </c>
      <c r="C57" s="15" t="s">
        <v>121</v>
      </c>
      <c r="D57" s="16">
        <v>1</v>
      </c>
      <c r="E57" s="17"/>
      <c r="F57" s="17">
        <f>D57*E57</f>
        <v>0</v>
      </c>
      <c r="G57" s="39"/>
    </row>
    <row r="58" spans="1:7" ht="17.25" customHeight="1" x14ac:dyDescent="0.3">
      <c r="A58" s="46"/>
      <c r="B58" s="47"/>
      <c r="C58" s="15"/>
      <c r="D58" s="16"/>
      <c r="E58" s="17"/>
      <c r="F58" s="17"/>
      <c r="G58" s="39"/>
    </row>
    <row r="59" spans="1:7" ht="17.25" customHeight="1" x14ac:dyDescent="0.3">
      <c r="A59" s="115">
        <v>9</v>
      </c>
      <c r="B59" s="265" t="s">
        <v>157</v>
      </c>
      <c r="C59" s="266"/>
      <c r="D59" s="266"/>
      <c r="E59" s="266"/>
      <c r="F59" s="267"/>
      <c r="G59" s="74">
        <f>+SUM(F61:F62)</f>
        <v>0</v>
      </c>
    </row>
    <row r="60" spans="1:7" ht="17.25" customHeight="1" x14ac:dyDescent="0.3">
      <c r="A60" s="46"/>
      <c r="B60" s="47"/>
      <c r="C60" s="15"/>
      <c r="D60" s="16"/>
      <c r="E60" s="17"/>
      <c r="F60" s="17"/>
      <c r="G60" s="39"/>
    </row>
    <row r="61" spans="1:7" ht="72" customHeight="1" x14ac:dyDescent="0.3">
      <c r="A61" s="46" t="s">
        <v>85</v>
      </c>
      <c r="B61" s="75" t="s">
        <v>187</v>
      </c>
      <c r="C61" s="15" t="s">
        <v>113</v>
      </c>
      <c r="D61" s="16">
        <f>1.5*10.03</f>
        <v>15.044999999999998</v>
      </c>
      <c r="E61" s="17"/>
      <c r="F61" s="17">
        <f>E61*D61</f>
        <v>0</v>
      </c>
      <c r="G61" s="39"/>
    </row>
    <row r="62" spans="1:7" ht="60" customHeight="1" x14ac:dyDescent="0.3">
      <c r="A62" s="46" t="s">
        <v>127</v>
      </c>
      <c r="B62" s="47" t="s">
        <v>212</v>
      </c>
      <c r="C62" s="15" t="s">
        <v>53</v>
      </c>
      <c r="D62" s="16">
        <v>1</v>
      </c>
      <c r="E62" s="17"/>
      <c r="F62" s="17">
        <f>D62*E62</f>
        <v>0</v>
      </c>
      <c r="G62" s="39"/>
    </row>
    <row r="63" spans="1:7" x14ac:dyDescent="0.3">
      <c r="A63" s="99"/>
      <c r="B63" s="75"/>
      <c r="C63" s="96"/>
      <c r="D63" s="134"/>
      <c r="E63" s="97"/>
      <c r="F63" s="135"/>
      <c r="G63" s="98"/>
    </row>
    <row r="64" spans="1:7" x14ac:dyDescent="0.3">
      <c r="A64" s="115">
        <v>10</v>
      </c>
      <c r="B64" s="265" t="s">
        <v>161</v>
      </c>
      <c r="C64" s="266"/>
      <c r="D64" s="266"/>
      <c r="E64" s="266"/>
      <c r="F64" s="267"/>
      <c r="G64" s="74">
        <f>+F66</f>
        <v>0</v>
      </c>
    </row>
    <row r="65" spans="1:9" x14ac:dyDescent="0.3">
      <c r="A65" s="46"/>
      <c r="B65" s="47"/>
      <c r="C65" s="15"/>
      <c r="D65" s="16"/>
      <c r="E65" s="17"/>
      <c r="F65" s="17"/>
      <c r="G65" s="39"/>
    </row>
    <row r="66" spans="1:9" ht="69.75" customHeight="1" x14ac:dyDescent="0.3">
      <c r="A66" s="46" t="s">
        <v>162</v>
      </c>
      <c r="B66" s="75" t="s">
        <v>188</v>
      </c>
      <c r="C66" s="15" t="s">
        <v>53</v>
      </c>
      <c r="D66" s="16">
        <v>1</v>
      </c>
      <c r="E66" s="17"/>
      <c r="F66" s="17">
        <f>+D66*E66</f>
        <v>0</v>
      </c>
      <c r="G66" s="39"/>
    </row>
    <row r="67" spans="1:9" ht="18.75" customHeight="1" x14ac:dyDescent="0.3">
      <c r="A67" s="46"/>
      <c r="B67" s="47"/>
      <c r="C67" s="15"/>
      <c r="D67" s="16"/>
      <c r="E67" s="17"/>
      <c r="F67" s="17"/>
      <c r="G67" s="39"/>
    </row>
    <row r="68" spans="1:9" ht="18" customHeight="1" x14ac:dyDescent="0.3">
      <c r="A68" s="78">
        <v>9</v>
      </c>
      <c r="B68" s="287" t="s">
        <v>213</v>
      </c>
      <c r="C68" s="287"/>
      <c r="D68" s="287"/>
      <c r="E68" s="287"/>
      <c r="F68" s="287"/>
      <c r="G68" s="79">
        <f>+SUM(F71)</f>
        <v>0</v>
      </c>
    </row>
    <row r="69" spans="1:9" ht="18" customHeight="1" x14ac:dyDescent="0.3">
      <c r="A69" s="80"/>
      <c r="B69" s="81"/>
      <c r="C69" s="82"/>
      <c r="D69" s="83"/>
      <c r="E69" s="84"/>
      <c r="F69" s="84"/>
      <c r="G69" s="85"/>
    </row>
    <row r="70" spans="1:9" ht="57" customHeight="1" x14ac:dyDescent="0.3">
      <c r="A70" s="136" t="s">
        <v>85</v>
      </c>
      <c r="B70" s="47" t="s">
        <v>189</v>
      </c>
      <c r="C70" s="15" t="s">
        <v>53</v>
      </c>
      <c r="D70" s="16">
        <v>1</v>
      </c>
      <c r="E70" s="17"/>
      <c r="F70" s="17">
        <f>D70*E70</f>
        <v>0</v>
      </c>
      <c r="G70" s="39"/>
    </row>
    <row r="71" spans="1:9" ht="18" customHeight="1" x14ac:dyDescent="0.3">
      <c r="A71" s="86"/>
      <c r="B71" s="86"/>
      <c r="C71" s="86"/>
      <c r="D71" s="86"/>
      <c r="E71" s="87"/>
      <c r="F71" s="87"/>
      <c r="G71" s="88"/>
    </row>
    <row r="72" spans="1:9" ht="18" customHeight="1" x14ac:dyDescent="0.3">
      <c r="A72" s="78">
        <v>11</v>
      </c>
      <c r="B72" s="287" t="s">
        <v>214</v>
      </c>
      <c r="C72" s="287"/>
      <c r="D72" s="287"/>
      <c r="E72" s="287"/>
      <c r="F72" s="287"/>
      <c r="G72" s="79">
        <f>+SUM(F75)</f>
        <v>0</v>
      </c>
    </row>
    <row r="73" spans="1:9" ht="18" customHeight="1" x14ac:dyDescent="0.3">
      <c r="A73" s="80"/>
      <c r="B73" s="81"/>
      <c r="C73" s="82"/>
      <c r="D73" s="83"/>
      <c r="E73" s="84"/>
      <c r="F73" s="84"/>
      <c r="G73" s="85"/>
    </row>
    <row r="74" spans="1:9" ht="66" customHeight="1" x14ac:dyDescent="0.3">
      <c r="A74" s="136" t="s">
        <v>164</v>
      </c>
      <c r="B74" s="47" t="s">
        <v>126</v>
      </c>
      <c r="C74" s="15" t="s">
        <v>215</v>
      </c>
      <c r="D74" s="16">
        <v>1</v>
      </c>
      <c r="E74" s="17"/>
      <c r="F74" s="17">
        <f>D74*E74</f>
        <v>0</v>
      </c>
      <c r="G74" s="39"/>
    </row>
    <row r="75" spans="1:9" ht="54.75" customHeight="1" x14ac:dyDescent="0.3">
      <c r="A75" s="136" t="s">
        <v>216</v>
      </c>
      <c r="B75" s="47" t="s">
        <v>128</v>
      </c>
      <c r="C75" s="15" t="s">
        <v>53</v>
      </c>
      <c r="D75" s="16">
        <v>1</v>
      </c>
      <c r="E75" s="17"/>
      <c r="F75" s="17">
        <f>D75*E75</f>
        <v>0</v>
      </c>
      <c r="G75" s="39"/>
    </row>
    <row r="76" spans="1:9" ht="15" thickBot="1" x14ac:dyDescent="0.35">
      <c r="A76" s="89"/>
      <c r="B76" s="90"/>
      <c r="C76" s="91"/>
      <c r="D76" s="92"/>
      <c r="E76" s="87"/>
      <c r="F76" s="87"/>
      <c r="G76" s="88"/>
    </row>
    <row r="77" spans="1:9" x14ac:dyDescent="0.3">
      <c r="A77" s="93"/>
      <c r="B77" s="268"/>
      <c r="C77" s="269"/>
      <c r="D77" s="269"/>
      <c r="E77" s="269"/>
      <c r="F77" s="270"/>
      <c r="G77" s="271">
        <f>+SUM(G10:G76)</f>
        <v>0</v>
      </c>
    </row>
    <row r="78" spans="1:9" ht="15" thickBot="1" x14ac:dyDescent="0.35">
      <c r="A78" s="94"/>
      <c r="B78" s="273" t="s">
        <v>60</v>
      </c>
      <c r="C78" s="274"/>
      <c r="D78" s="274"/>
      <c r="E78" s="274"/>
      <c r="F78" s="275"/>
      <c r="G78" s="272"/>
      <c r="I78" s="175"/>
    </row>
  </sheetData>
  <mergeCells count="24">
    <mergeCell ref="B35:F35"/>
    <mergeCell ref="A9:G9"/>
    <mergeCell ref="B10:F10"/>
    <mergeCell ref="B17:F17"/>
    <mergeCell ref="B30:F30"/>
    <mergeCell ref="B21:F21"/>
    <mergeCell ref="F4:G4"/>
    <mergeCell ref="F5:G5"/>
    <mergeCell ref="A7:A8"/>
    <mergeCell ref="B7:B8"/>
    <mergeCell ref="C7:C8"/>
    <mergeCell ref="D7:D8"/>
    <mergeCell ref="E7:E8"/>
    <mergeCell ref="F7:G7"/>
    <mergeCell ref="B72:F72"/>
    <mergeCell ref="B77:F77"/>
    <mergeCell ref="G77:G78"/>
    <mergeCell ref="B78:F78"/>
    <mergeCell ref="B41:F41"/>
    <mergeCell ref="B51:F51"/>
    <mergeCell ref="B55:F55"/>
    <mergeCell ref="B59:F59"/>
    <mergeCell ref="B68:F68"/>
    <mergeCell ref="B64:F6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J36" sqref="J36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6.554687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18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12" customHeight="1" x14ac:dyDescent="0.3">
      <c r="A9" s="302"/>
      <c r="B9" s="303"/>
      <c r="C9" s="303"/>
      <c r="D9" s="303"/>
      <c r="E9" s="303"/>
      <c r="F9" s="303"/>
      <c r="G9" s="304"/>
    </row>
    <row r="10" spans="1:7" x14ac:dyDescent="0.3">
      <c r="A10" s="189">
        <v>1</v>
      </c>
      <c r="B10" s="291" t="s">
        <v>31</v>
      </c>
      <c r="C10" s="292"/>
      <c r="D10" s="292"/>
      <c r="E10" s="292"/>
      <c r="F10" s="293"/>
      <c r="G10" s="190">
        <f>+SUM(F12:F12)</f>
        <v>0</v>
      </c>
    </row>
    <row r="11" spans="1:7" ht="6.9" customHeight="1" x14ac:dyDescent="0.3">
      <c r="A11" s="191"/>
      <c r="B11" s="192"/>
      <c r="C11" s="192"/>
      <c r="D11" s="192"/>
      <c r="E11" s="193"/>
      <c r="F11" s="193"/>
      <c r="G11" s="194"/>
    </row>
    <row r="12" spans="1:7" ht="39.6" x14ac:dyDescent="0.3">
      <c r="A12" s="195" t="s">
        <v>32</v>
      </c>
      <c r="B12" s="196" t="s">
        <v>33</v>
      </c>
      <c r="C12" s="197" t="s">
        <v>34</v>
      </c>
      <c r="D12" s="198">
        <f>14.02*0.15</f>
        <v>2.1029999999999998</v>
      </c>
      <c r="E12" s="199"/>
      <c r="F12" s="199">
        <f>+D12*E12</f>
        <v>0</v>
      </c>
      <c r="G12" s="200"/>
    </row>
    <row r="13" spans="1:7" ht="6.9" customHeight="1" x14ac:dyDescent="0.3">
      <c r="A13" s="201"/>
      <c r="B13" s="202"/>
      <c r="C13" s="202"/>
      <c r="D13" s="202"/>
      <c r="E13" s="203"/>
      <c r="F13" s="199"/>
      <c r="G13" s="204"/>
    </row>
    <row r="14" spans="1:7" x14ac:dyDescent="0.3">
      <c r="A14" s="189">
        <v>2</v>
      </c>
      <c r="B14" s="291" t="s">
        <v>35</v>
      </c>
      <c r="C14" s="292"/>
      <c r="D14" s="292"/>
      <c r="E14" s="292"/>
      <c r="F14" s="293"/>
      <c r="G14" s="190">
        <f>SUM(F17:F18)</f>
        <v>0</v>
      </c>
    </row>
    <row r="15" spans="1:7" x14ac:dyDescent="0.3">
      <c r="A15" s="191"/>
      <c r="B15" s="192"/>
      <c r="C15" s="192"/>
      <c r="D15" s="192"/>
      <c r="E15" s="193"/>
      <c r="F15" s="193"/>
      <c r="G15" s="194"/>
    </row>
    <row r="16" spans="1:7" ht="92.4" x14ac:dyDescent="0.3">
      <c r="A16" s="195" t="s">
        <v>36</v>
      </c>
      <c r="B16" s="205" t="s">
        <v>37</v>
      </c>
      <c r="C16" s="206"/>
      <c r="D16" s="198"/>
      <c r="E16" s="199"/>
      <c r="F16" s="199"/>
      <c r="G16" s="207"/>
    </row>
    <row r="17" spans="1:7" ht="15.6" x14ac:dyDescent="0.3">
      <c r="A17" s="195" t="s">
        <v>38</v>
      </c>
      <c r="B17" s="205" t="s">
        <v>39</v>
      </c>
      <c r="C17" s="197" t="s">
        <v>34</v>
      </c>
      <c r="D17" s="199">
        <f>0.2*0.4*4.17*2+0.2*0.4*4.03*2</f>
        <v>1.3120000000000003</v>
      </c>
      <c r="E17" s="199"/>
      <c r="F17" s="199">
        <f t="shared" ref="F17:F18" si="0">D17*E17</f>
        <v>0</v>
      </c>
      <c r="G17" s="207"/>
    </row>
    <row r="18" spans="1:7" ht="15.6" x14ac:dyDescent="0.3">
      <c r="A18" s="195" t="s">
        <v>40</v>
      </c>
      <c r="B18" s="205" t="s">
        <v>41</v>
      </c>
      <c r="C18" s="197" t="s">
        <v>34</v>
      </c>
      <c r="D18" s="198">
        <f>14.02*0.15</f>
        <v>2.1029999999999998</v>
      </c>
      <c r="E18" s="199"/>
      <c r="F18" s="199">
        <f t="shared" si="0"/>
        <v>0</v>
      </c>
      <c r="G18" s="207"/>
    </row>
    <row r="19" spans="1:7" ht="6.9" customHeight="1" x14ac:dyDescent="0.3">
      <c r="A19" s="201"/>
      <c r="B19" s="208"/>
      <c r="C19" s="208"/>
      <c r="D19" s="208"/>
      <c r="E19" s="209"/>
      <c r="F19" s="209"/>
      <c r="G19" s="210"/>
    </row>
    <row r="20" spans="1:7" x14ac:dyDescent="0.3">
      <c r="A20" s="189">
        <v>3</v>
      </c>
      <c r="B20" s="291" t="s">
        <v>42</v>
      </c>
      <c r="C20" s="292"/>
      <c r="D20" s="292"/>
      <c r="E20" s="292"/>
      <c r="F20" s="293"/>
      <c r="G20" s="190">
        <f>SUM(F22:F24)</f>
        <v>0</v>
      </c>
    </row>
    <row r="21" spans="1:7" x14ac:dyDescent="0.3">
      <c r="A21" s="211"/>
      <c r="B21" s="212"/>
      <c r="C21" s="197"/>
      <c r="D21" s="198"/>
      <c r="E21" s="199"/>
      <c r="F21" s="199"/>
      <c r="G21" s="207"/>
    </row>
    <row r="22" spans="1:7" ht="66" x14ac:dyDescent="0.3">
      <c r="A22" s="211" t="s">
        <v>43</v>
      </c>
      <c r="B22" s="212" t="s">
        <v>44</v>
      </c>
      <c r="C22" s="197" t="s">
        <v>45</v>
      </c>
      <c r="D22" s="198">
        <f>+(3.42+3.93+2.17+0.68+2.71+0.98+0.51+2.55)*2.91</f>
        <v>49.3245</v>
      </c>
      <c r="E22" s="199"/>
      <c r="F22" s="199">
        <f>+D22*E22</f>
        <v>0</v>
      </c>
      <c r="G22" s="207"/>
    </row>
    <row r="23" spans="1:7" ht="26.4" x14ac:dyDescent="0.3">
      <c r="A23" s="211" t="s">
        <v>46</v>
      </c>
      <c r="B23" s="213" t="s">
        <v>47</v>
      </c>
      <c r="C23" s="197" t="s">
        <v>45</v>
      </c>
      <c r="D23" s="198">
        <f>+(3.77+3.64+1.21+0.95+1.54+1.61)*2.91+D22</f>
        <v>86.339699999999993</v>
      </c>
      <c r="E23" s="199"/>
      <c r="F23" s="199">
        <f>+D23*E23</f>
        <v>0</v>
      </c>
      <c r="G23" s="207"/>
    </row>
    <row r="24" spans="1:7" ht="26.4" x14ac:dyDescent="0.3">
      <c r="A24" s="211" t="s">
        <v>48</v>
      </c>
      <c r="B24" s="213" t="s">
        <v>49</v>
      </c>
      <c r="C24" s="197" t="s">
        <v>45</v>
      </c>
      <c r="D24" s="198">
        <f>14.02+8.92+8.99</f>
        <v>31.93</v>
      </c>
      <c r="E24" s="199"/>
      <c r="F24" s="199">
        <f>+D24*E24</f>
        <v>0</v>
      </c>
      <c r="G24" s="207"/>
    </row>
    <row r="25" spans="1:7" ht="6.9" customHeight="1" x14ac:dyDescent="0.3">
      <c r="A25" s="214"/>
      <c r="B25" s="213"/>
      <c r="C25" s="215"/>
      <c r="D25" s="216"/>
      <c r="E25" s="217"/>
      <c r="F25" s="218"/>
      <c r="G25" s="219"/>
    </row>
    <row r="26" spans="1:7" x14ac:dyDescent="0.3">
      <c r="A26" s="189">
        <v>4</v>
      </c>
      <c r="B26" s="291" t="s">
        <v>50</v>
      </c>
      <c r="C26" s="292"/>
      <c r="D26" s="292"/>
      <c r="E26" s="292"/>
      <c r="F26" s="293"/>
      <c r="G26" s="190">
        <f>+SUM(F28)</f>
        <v>0</v>
      </c>
    </row>
    <row r="27" spans="1:7" x14ac:dyDescent="0.3">
      <c r="A27" s="211"/>
      <c r="B27" s="212"/>
      <c r="C27" s="220"/>
      <c r="D27" s="198"/>
      <c r="E27" s="199"/>
      <c r="F27" s="199"/>
      <c r="G27" s="207"/>
    </row>
    <row r="28" spans="1:7" ht="52.8" x14ac:dyDescent="0.3">
      <c r="A28" s="211" t="s">
        <v>51</v>
      </c>
      <c r="B28" s="212" t="s">
        <v>52</v>
      </c>
      <c r="C28" s="197" t="s">
        <v>53</v>
      </c>
      <c r="D28" s="198">
        <v>1</v>
      </c>
      <c r="E28" s="199"/>
      <c r="F28" s="199">
        <f t="shared" ref="F28" si="1">D28*E28</f>
        <v>0</v>
      </c>
      <c r="G28" s="207"/>
    </row>
    <row r="29" spans="1:7" x14ac:dyDescent="0.3">
      <c r="A29" s="211"/>
      <c r="B29" s="212"/>
      <c r="C29" s="197"/>
      <c r="D29" s="198"/>
      <c r="E29" s="199"/>
      <c r="F29" s="199"/>
      <c r="G29" s="207"/>
    </row>
    <row r="30" spans="1:7" x14ac:dyDescent="0.3">
      <c r="A30" s="189">
        <v>5</v>
      </c>
      <c r="B30" s="291" t="s">
        <v>54</v>
      </c>
      <c r="C30" s="292"/>
      <c r="D30" s="292"/>
      <c r="E30" s="292"/>
      <c r="F30" s="293"/>
      <c r="G30" s="190">
        <f>SUM(F32:F32)</f>
        <v>0</v>
      </c>
    </row>
    <row r="31" spans="1:7" x14ac:dyDescent="0.3">
      <c r="A31" s="214"/>
      <c r="B31" s="213"/>
      <c r="C31" s="221"/>
      <c r="D31" s="216"/>
      <c r="E31" s="217"/>
      <c r="F31" s="218"/>
      <c r="G31" s="219"/>
    </row>
    <row r="32" spans="1:7" ht="66" x14ac:dyDescent="0.3">
      <c r="A32" s="214" t="s">
        <v>55</v>
      </c>
      <c r="B32" s="213" t="s">
        <v>56</v>
      </c>
      <c r="C32" s="221" t="s">
        <v>53</v>
      </c>
      <c r="D32" s="216">
        <v>1</v>
      </c>
      <c r="E32" s="217"/>
      <c r="F32" s="218">
        <f>+D32*E32</f>
        <v>0</v>
      </c>
      <c r="G32" s="219"/>
    </row>
    <row r="33" spans="1:7" x14ac:dyDescent="0.3">
      <c r="A33" s="211"/>
      <c r="B33" s="212"/>
      <c r="C33" s="197"/>
      <c r="D33" s="198"/>
      <c r="E33" s="199"/>
      <c r="F33" s="199"/>
      <c r="G33" s="207"/>
    </row>
    <row r="34" spans="1:7" x14ac:dyDescent="0.3">
      <c r="A34" s="189">
        <v>6</v>
      </c>
      <c r="B34" s="291" t="s">
        <v>57</v>
      </c>
      <c r="C34" s="292"/>
      <c r="D34" s="292"/>
      <c r="E34" s="292"/>
      <c r="F34" s="293"/>
      <c r="G34" s="190">
        <f>+F36</f>
        <v>0</v>
      </c>
    </row>
    <row r="35" spans="1:7" x14ac:dyDescent="0.3">
      <c r="A35" s="211"/>
      <c r="B35" s="212"/>
      <c r="C35" s="197"/>
      <c r="D35" s="198"/>
      <c r="E35" s="199"/>
      <c r="F35" s="199"/>
      <c r="G35" s="207"/>
    </row>
    <row r="36" spans="1:7" ht="67.2" x14ac:dyDescent="0.3">
      <c r="A36" s="211" t="s">
        <v>58</v>
      </c>
      <c r="B36" s="213" t="s">
        <v>59</v>
      </c>
      <c r="C36" s="197" t="s">
        <v>53</v>
      </c>
      <c r="D36" s="198">
        <v>1</v>
      </c>
      <c r="E36" s="199"/>
      <c r="F36" s="199">
        <f>+D36*E36</f>
        <v>0</v>
      </c>
      <c r="G36" s="207"/>
    </row>
    <row r="37" spans="1:7" ht="15" thickBot="1" x14ac:dyDescent="0.35">
      <c r="A37" s="211"/>
      <c r="B37" s="222"/>
      <c r="C37" s="197"/>
      <c r="D37" s="223"/>
      <c r="E37" s="199"/>
      <c r="F37" s="199"/>
      <c r="G37" s="207"/>
    </row>
    <row r="38" spans="1:7" x14ac:dyDescent="0.3">
      <c r="A38" s="224"/>
      <c r="B38" s="294"/>
      <c r="C38" s="295"/>
      <c r="D38" s="295"/>
      <c r="E38" s="295"/>
      <c r="F38" s="296"/>
      <c r="G38" s="297">
        <f>+SUM(G10:G37)</f>
        <v>0</v>
      </c>
    </row>
    <row r="39" spans="1:7" ht="15" thickBot="1" x14ac:dyDescent="0.35">
      <c r="A39" s="225"/>
      <c r="B39" s="299" t="s">
        <v>60</v>
      </c>
      <c r="C39" s="300"/>
      <c r="D39" s="300"/>
      <c r="E39" s="300"/>
      <c r="F39" s="301"/>
      <c r="G39" s="298"/>
    </row>
  </sheetData>
  <mergeCells count="18">
    <mergeCell ref="F4:G4"/>
    <mergeCell ref="F5:G5"/>
    <mergeCell ref="A7:A8"/>
    <mergeCell ref="B7:B8"/>
    <mergeCell ref="C7:C8"/>
    <mergeCell ref="D7:D8"/>
    <mergeCell ref="E7:E8"/>
    <mergeCell ref="F7:G7"/>
    <mergeCell ref="B34:F34"/>
    <mergeCell ref="B38:F38"/>
    <mergeCell ref="G38:G39"/>
    <mergeCell ref="B39:F39"/>
    <mergeCell ref="A9:G9"/>
    <mergeCell ref="B10:F10"/>
    <mergeCell ref="B14:F14"/>
    <mergeCell ref="B20:F20"/>
    <mergeCell ref="B26:F26"/>
    <mergeCell ref="B30:F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J54" sqref="J54"/>
    </sheetView>
  </sheetViews>
  <sheetFormatPr defaultRowHeight="14.4" x14ac:dyDescent="0.3"/>
  <cols>
    <col min="1" max="1" width="7.5546875" style="178" bestFit="1" customWidth="1"/>
    <col min="2" max="2" width="39.6640625" style="179" customWidth="1"/>
    <col min="3" max="3" width="4.6640625" style="179" customWidth="1"/>
    <col min="4" max="4" width="7.33203125" style="179" customWidth="1"/>
    <col min="5" max="5" width="11.33203125" style="180" customWidth="1"/>
    <col min="6" max="6" width="12.5546875" style="180" customWidth="1"/>
    <col min="7" max="7" width="11.44140625" style="179" customWidth="1"/>
  </cols>
  <sheetData>
    <row r="1" spans="1:7" ht="8.1" customHeight="1" x14ac:dyDescent="0.3"/>
    <row r="2" spans="1:7" x14ac:dyDescent="0.3">
      <c r="A2" s="181" t="s">
        <v>13</v>
      </c>
      <c r="B2" s="181"/>
      <c r="C2" s="181"/>
      <c r="D2" s="181"/>
      <c r="E2" s="182"/>
      <c r="F2" s="183"/>
      <c r="G2" s="181"/>
    </row>
    <row r="3" spans="1:7" x14ac:dyDescent="0.3">
      <c r="A3" s="184" t="s">
        <v>14</v>
      </c>
      <c r="B3" s="181" t="s">
        <v>15</v>
      </c>
      <c r="C3" s="184"/>
      <c r="E3" s="185"/>
      <c r="F3" s="185"/>
      <c r="G3" s="184"/>
    </row>
    <row r="4" spans="1:7" x14ac:dyDescent="0.3">
      <c r="A4" s="184" t="s">
        <v>16</v>
      </c>
      <c r="B4" s="181"/>
      <c r="C4" s="184"/>
      <c r="D4" s="184"/>
      <c r="E4" s="182"/>
      <c r="F4" s="305"/>
      <c r="G4" s="305"/>
    </row>
    <row r="5" spans="1:7" x14ac:dyDescent="0.3">
      <c r="A5" s="184" t="s">
        <v>17</v>
      </c>
      <c r="B5" s="181" t="s">
        <v>61</v>
      </c>
      <c r="C5" s="184"/>
      <c r="D5" s="184"/>
      <c r="E5" s="182"/>
      <c r="F5" s="305" t="s">
        <v>19</v>
      </c>
      <c r="G5" s="305"/>
    </row>
    <row r="6" spans="1:7" ht="15" thickBot="1" x14ac:dyDescent="0.35">
      <c r="A6" s="184"/>
      <c r="B6" s="181"/>
      <c r="C6" s="184"/>
      <c r="D6" s="184"/>
      <c r="E6" s="186"/>
      <c r="F6" s="186"/>
      <c r="G6" s="184"/>
    </row>
    <row r="7" spans="1:7" ht="15" thickBot="1" x14ac:dyDescent="0.35">
      <c r="A7" s="306" t="s">
        <v>20</v>
      </c>
      <c r="B7" s="306" t="s">
        <v>21</v>
      </c>
      <c r="C7" s="306" t="s">
        <v>22</v>
      </c>
      <c r="D7" s="308" t="s">
        <v>23</v>
      </c>
      <c r="E7" s="310" t="s">
        <v>24</v>
      </c>
      <c r="F7" s="312" t="s">
        <v>25</v>
      </c>
      <c r="G7" s="313"/>
    </row>
    <row r="8" spans="1:7" ht="15" thickBot="1" x14ac:dyDescent="0.35">
      <c r="A8" s="307"/>
      <c r="B8" s="307" t="s">
        <v>26</v>
      </c>
      <c r="C8" s="307" t="s">
        <v>27</v>
      </c>
      <c r="D8" s="309" t="s">
        <v>28</v>
      </c>
      <c r="E8" s="311"/>
      <c r="F8" s="187" t="s">
        <v>29</v>
      </c>
      <c r="G8" s="188" t="s">
        <v>30</v>
      </c>
    </row>
    <row r="9" spans="1:7" ht="12" customHeight="1" x14ac:dyDescent="0.3">
      <c r="A9" s="302"/>
      <c r="B9" s="303"/>
      <c r="C9" s="303"/>
      <c r="D9" s="303"/>
      <c r="E9" s="303"/>
      <c r="F9" s="303"/>
      <c r="G9" s="304"/>
    </row>
    <row r="10" spans="1:7" x14ac:dyDescent="0.3">
      <c r="A10" s="189">
        <v>1</v>
      </c>
      <c r="B10" s="291" t="s">
        <v>31</v>
      </c>
      <c r="C10" s="292"/>
      <c r="D10" s="292"/>
      <c r="E10" s="292"/>
      <c r="F10" s="293"/>
      <c r="G10" s="190">
        <f>+SUM(F12:F13)</f>
        <v>0</v>
      </c>
    </row>
    <row r="11" spans="1:7" ht="6.9" customHeight="1" x14ac:dyDescent="0.3">
      <c r="A11" s="191"/>
      <c r="B11" s="192"/>
      <c r="C11" s="192"/>
      <c r="D11" s="192"/>
      <c r="E11" s="193"/>
      <c r="F11" s="193"/>
      <c r="G11" s="194"/>
    </row>
    <row r="12" spans="1:7" ht="39.6" x14ac:dyDescent="0.3">
      <c r="A12" s="195" t="s">
        <v>32</v>
      </c>
      <c r="B12" s="196" t="s">
        <v>33</v>
      </c>
      <c r="C12" s="197" t="s">
        <v>34</v>
      </c>
      <c r="D12" s="198">
        <f>18*0.15</f>
        <v>2.6999999999999997</v>
      </c>
      <c r="E12" s="199"/>
      <c r="F12" s="199">
        <f>+D12*E12</f>
        <v>0</v>
      </c>
      <c r="G12" s="200"/>
    </row>
    <row r="13" spans="1:7" ht="52.8" x14ac:dyDescent="0.3">
      <c r="A13" s="195" t="s">
        <v>62</v>
      </c>
      <c r="B13" s="196" t="s">
        <v>63</v>
      </c>
      <c r="C13" s="197" t="s">
        <v>45</v>
      </c>
      <c r="D13" s="198">
        <v>27.89</v>
      </c>
      <c r="E13" s="199"/>
      <c r="F13" s="199">
        <f>D13*E13</f>
        <v>0</v>
      </c>
      <c r="G13" s="200"/>
    </row>
    <row r="14" spans="1:7" ht="6.9" customHeight="1" x14ac:dyDescent="0.3">
      <c r="A14" s="201"/>
      <c r="B14" s="202"/>
      <c r="C14" s="202"/>
      <c r="D14" s="202"/>
      <c r="E14" s="203"/>
      <c r="F14" s="199"/>
      <c r="G14" s="204"/>
    </row>
    <row r="15" spans="1:7" x14ac:dyDescent="0.3">
      <c r="A15" s="189">
        <v>2</v>
      </c>
      <c r="B15" s="291" t="s">
        <v>35</v>
      </c>
      <c r="C15" s="292"/>
      <c r="D15" s="292"/>
      <c r="E15" s="292"/>
      <c r="F15" s="293"/>
      <c r="G15" s="190">
        <f>SUM(F17:F19)</f>
        <v>0</v>
      </c>
    </row>
    <row r="16" spans="1:7" x14ac:dyDescent="0.3">
      <c r="A16" s="191"/>
      <c r="B16" s="192"/>
      <c r="C16" s="192"/>
      <c r="D16" s="192"/>
      <c r="E16" s="193"/>
      <c r="F16" s="193"/>
      <c r="G16" s="194"/>
    </row>
    <row r="17" spans="1:7" ht="92.4" x14ac:dyDescent="0.3">
      <c r="A17" s="195" t="s">
        <v>36</v>
      </c>
      <c r="B17" s="205" t="s">
        <v>37</v>
      </c>
      <c r="C17" s="206"/>
      <c r="D17" s="198"/>
      <c r="E17" s="199"/>
      <c r="F17" s="199"/>
      <c r="G17" s="207"/>
    </row>
    <row r="18" spans="1:7" ht="15.6" x14ac:dyDescent="0.3">
      <c r="A18" s="195" t="s">
        <v>38</v>
      </c>
      <c r="B18" s="205" t="s">
        <v>39</v>
      </c>
      <c r="C18" s="197" t="s">
        <v>34</v>
      </c>
      <c r="D18" s="198">
        <f>0.2*0.4*5.4*2+0.2*0.4*5.16*2+0.2*0.4*3.8*2+0.2*0.4*2.86*2+0.2*0.4*3.5*2+0.2*0.4*3.91</f>
        <v>3.628000000000001</v>
      </c>
      <c r="E18" s="199"/>
      <c r="F18" s="199">
        <f t="shared" ref="F18:F19" si="0">D18*E18</f>
        <v>0</v>
      </c>
      <c r="G18" s="207"/>
    </row>
    <row r="19" spans="1:7" ht="15.6" x14ac:dyDescent="0.3">
      <c r="A19" s="195" t="s">
        <v>40</v>
      </c>
      <c r="B19" s="205" t="s">
        <v>41</v>
      </c>
      <c r="C19" s="197" t="s">
        <v>34</v>
      </c>
      <c r="D19" s="198">
        <f>+(20.41+28.93)*0.15</f>
        <v>7.4009999999999998</v>
      </c>
      <c r="E19" s="199"/>
      <c r="F19" s="199">
        <f t="shared" si="0"/>
        <v>0</v>
      </c>
      <c r="G19" s="207"/>
    </row>
    <row r="20" spans="1:7" x14ac:dyDescent="0.3">
      <c r="A20" s="195"/>
      <c r="B20" s="205"/>
      <c r="C20" s="197"/>
      <c r="D20" s="198"/>
      <c r="E20" s="199"/>
      <c r="F20" s="199"/>
      <c r="G20" s="207"/>
    </row>
    <row r="21" spans="1:7" x14ac:dyDescent="0.3">
      <c r="A21" s="189">
        <v>3</v>
      </c>
      <c r="B21" s="291" t="s">
        <v>64</v>
      </c>
      <c r="C21" s="292"/>
      <c r="D21" s="292"/>
      <c r="E21" s="292"/>
      <c r="F21" s="293"/>
      <c r="G21" s="190">
        <f>+SUM(F23:F23)</f>
        <v>0</v>
      </c>
    </row>
    <row r="22" spans="1:7" x14ac:dyDescent="0.3">
      <c r="A22" s="191"/>
      <c r="B22" s="192"/>
      <c r="C22" s="192"/>
      <c r="D22" s="192"/>
      <c r="E22" s="193"/>
      <c r="F22" s="193"/>
      <c r="G22" s="194"/>
    </row>
    <row r="23" spans="1:7" ht="81.599999999999994" x14ac:dyDescent="0.3">
      <c r="A23" s="211" t="s">
        <v>43</v>
      </c>
      <c r="B23" s="205" t="s">
        <v>65</v>
      </c>
      <c r="C23" s="197" t="s">
        <v>45</v>
      </c>
      <c r="D23" s="198">
        <v>8</v>
      </c>
      <c r="E23" s="199"/>
      <c r="F23" s="199">
        <f t="shared" ref="F23" si="1">D23*E23</f>
        <v>0</v>
      </c>
      <c r="G23" s="207"/>
    </row>
    <row r="24" spans="1:7" x14ac:dyDescent="0.3">
      <c r="A24" s="214"/>
      <c r="B24" s="213"/>
      <c r="C24" s="215"/>
      <c r="D24" s="216"/>
      <c r="E24" s="217"/>
      <c r="F24" s="218"/>
      <c r="G24" s="219"/>
    </row>
    <row r="25" spans="1:7" x14ac:dyDescent="0.3">
      <c r="A25" s="189">
        <v>4</v>
      </c>
      <c r="B25" s="291" t="s">
        <v>66</v>
      </c>
      <c r="C25" s="292"/>
      <c r="D25" s="292"/>
      <c r="E25" s="292"/>
      <c r="F25" s="293"/>
      <c r="G25" s="190">
        <f>SUM(F27:F29)</f>
        <v>0</v>
      </c>
    </row>
    <row r="26" spans="1:7" x14ac:dyDescent="0.3">
      <c r="A26" s="211"/>
      <c r="B26" s="212"/>
      <c r="C26" s="197"/>
      <c r="D26" s="198"/>
      <c r="E26" s="199"/>
      <c r="F26" s="199"/>
      <c r="G26" s="207"/>
    </row>
    <row r="27" spans="1:7" ht="66" x14ac:dyDescent="0.3">
      <c r="A27" s="211" t="s">
        <v>51</v>
      </c>
      <c r="B27" s="212" t="s">
        <v>44</v>
      </c>
      <c r="C27" s="197" t="s">
        <v>45</v>
      </c>
      <c r="D27" s="198">
        <f>+(2.19+2.17+3.5*2+3.91)*2.8</f>
        <v>42.755999999999993</v>
      </c>
      <c r="E27" s="199"/>
      <c r="F27" s="199">
        <f>+D27*E27</f>
        <v>0</v>
      </c>
      <c r="G27" s="207"/>
    </row>
    <row r="28" spans="1:7" ht="26.4" x14ac:dyDescent="0.3">
      <c r="A28" s="211" t="s">
        <v>67</v>
      </c>
      <c r="B28" s="213" t="s">
        <v>47</v>
      </c>
      <c r="C28" s="197" t="s">
        <v>45</v>
      </c>
      <c r="D28" s="198">
        <f>+(4.65+2.58+4.26+3.35+5.4+2.03+5.16+5.36+5.17+2.36)*2.8</f>
        <v>112.89600000000002</v>
      </c>
      <c r="E28" s="199"/>
      <c r="F28" s="199">
        <f>+D28*E28</f>
        <v>0</v>
      </c>
      <c r="G28" s="207"/>
    </row>
    <row r="29" spans="1:7" ht="26.4" x14ac:dyDescent="0.3">
      <c r="A29" s="211" t="s">
        <v>68</v>
      </c>
      <c r="B29" s="213" t="s">
        <v>49</v>
      </c>
      <c r="C29" s="197" t="s">
        <v>45</v>
      </c>
      <c r="D29" s="198">
        <f>+(27.89+29.61)</f>
        <v>57.5</v>
      </c>
      <c r="E29" s="199"/>
      <c r="F29" s="199">
        <f>+D29*E29</f>
        <v>0</v>
      </c>
      <c r="G29" s="207"/>
    </row>
    <row r="30" spans="1:7" x14ac:dyDescent="0.3">
      <c r="A30" s="211"/>
      <c r="B30" s="212"/>
      <c r="C30" s="197"/>
      <c r="D30" s="198"/>
      <c r="E30" s="199"/>
      <c r="F30" s="199"/>
      <c r="G30" s="207"/>
    </row>
    <row r="31" spans="1:7" x14ac:dyDescent="0.3">
      <c r="A31" s="189">
        <v>5</v>
      </c>
      <c r="B31" s="291" t="s">
        <v>69</v>
      </c>
      <c r="C31" s="292"/>
      <c r="D31" s="292"/>
      <c r="E31" s="292"/>
      <c r="F31" s="293"/>
      <c r="G31" s="190">
        <f>+SUM(F34:F36)</f>
        <v>0</v>
      </c>
    </row>
    <row r="32" spans="1:7" ht="6.9" customHeight="1" x14ac:dyDescent="0.3">
      <c r="A32" s="211"/>
      <c r="B32" s="212"/>
      <c r="C32" s="220"/>
      <c r="D32" s="198"/>
      <c r="E32" s="199"/>
      <c r="F32" s="199"/>
      <c r="G32" s="207"/>
    </row>
    <row r="33" spans="1:7" x14ac:dyDescent="0.3">
      <c r="A33" s="211" t="s">
        <v>55</v>
      </c>
      <c r="B33" s="226" t="s">
        <v>70</v>
      </c>
      <c r="C33" s="220"/>
      <c r="D33" s="198"/>
      <c r="E33" s="199"/>
      <c r="F33" s="199"/>
      <c r="G33" s="207"/>
    </row>
    <row r="34" spans="1:7" ht="66" x14ac:dyDescent="0.3">
      <c r="A34" s="211" t="s">
        <v>71</v>
      </c>
      <c r="B34" s="212" t="s">
        <v>72</v>
      </c>
      <c r="C34" s="197" t="s">
        <v>53</v>
      </c>
      <c r="D34" s="198">
        <v>1</v>
      </c>
      <c r="E34" s="199"/>
      <c r="F34" s="199">
        <f>+D34*E34</f>
        <v>0</v>
      </c>
      <c r="G34" s="207"/>
    </row>
    <row r="35" spans="1:7" ht="66" x14ac:dyDescent="0.3">
      <c r="A35" s="211" t="s">
        <v>73</v>
      </c>
      <c r="B35" s="212" t="s">
        <v>74</v>
      </c>
      <c r="C35" s="197" t="s">
        <v>53</v>
      </c>
      <c r="D35" s="198">
        <v>1</v>
      </c>
      <c r="E35" s="199"/>
      <c r="F35" s="199">
        <f t="shared" ref="F35:F36" si="2">+D35*E35</f>
        <v>0</v>
      </c>
      <c r="G35" s="207"/>
    </row>
    <row r="36" spans="1:7" ht="66" x14ac:dyDescent="0.3">
      <c r="A36" s="211" t="s">
        <v>75</v>
      </c>
      <c r="B36" s="212" t="s">
        <v>76</v>
      </c>
      <c r="C36" s="197" t="s">
        <v>53</v>
      </c>
      <c r="D36" s="198">
        <v>1</v>
      </c>
      <c r="E36" s="199"/>
      <c r="F36" s="199">
        <f t="shared" si="2"/>
        <v>0</v>
      </c>
      <c r="G36" s="207"/>
    </row>
    <row r="37" spans="1:7" ht="6.9" customHeight="1" x14ac:dyDescent="0.3">
      <c r="A37" s="214"/>
      <c r="B37" s="213"/>
      <c r="C37" s="215"/>
      <c r="D37" s="216"/>
      <c r="E37" s="217"/>
      <c r="F37" s="218"/>
      <c r="G37" s="219"/>
    </row>
    <row r="38" spans="1:7" x14ac:dyDescent="0.3">
      <c r="A38" s="189">
        <v>6</v>
      </c>
      <c r="B38" s="291" t="s">
        <v>77</v>
      </c>
      <c r="C38" s="292"/>
      <c r="D38" s="292"/>
      <c r="E38" s="292"/>
      <c r="F38" s="293"/>
      <c r="G38" s="190">
        <f>SUM(F40:F40)</f>
        <v>0</v>
      </c>
    </row>
    <row r="39" spans="1:7" x14ac:dyDescent="0.3">
      <c r="A39" s="214"/>
      <c r="B39" s="213"/>
      <c r="C39" s="221"/>
      <c r="D39" s="216"/>
      <c r="E39" s="217"/>
      <c r="F39" s="218"/>
      <c r="G39" s="219"/>
    </row>
    <row r="40" spans="1:7" ht="66" x14ac:dyDescent="0.3">
      <c r="A40" s="214" t="s">
        <v>58</v>
      </c>
      <c r="B40" s="213" t="s">
        <v>56</v>
      </c>
      <c r="C40" s="221" t="s">
        <v>53</v>
      </c>
      <c r="D40" s="216">
        <v>1</v>
      </c>
      <c r="E40" s="217"/>
      <c r="F40" s="218">
        <f>+D40*E40</f>
        <v>0</v>
      </c>
      <c r="G40" s="219"/>
    </row>
    <row r="41" spans="1:7" x14ac:dyDescent="0.3">
      <c r="A41" s="211"/>
      <c r="B41" s="212"/>
      <c r="C41" s="220"/>
      <c r="D41" s="198"/>
      <c r="E41" s="199"/>
      <c r="F41" s="199"/>
      <c r="G41" s="207"/>
    </row>
    <row r="42" spans="1:7" x14ac:dyDescent="0.3">
      <c r="A42" s="189">
        <v>7</v>
      </c>
      <c r="B42" s="291" t="s">
        <v>78</v>
      </c>
      <c r="C42" s="292"/>
      <c r="D42" s="292"/>
      <c r="E42" s="292"/>
      <c r="F42" s="293"/>
      <c r="G42" s="190">
        <f>+SUM(F44)</f>
        <v>0</v>
      </c>
    </row>
    <row r="43" spans="1:7" x14ac:dyDescent="0.3">
      <c r="A43" s="211"/>
      <c r="B43" s="212"/>
      <c r="C43" s="220"/>
      <c r="D43" s="198"/>
      <c r="E43" s="199"/>
      <c r="F43" s="199"/>
      <c r="G43" s="207"/>
    </row>
    <row r="44" spans="1:7" ht="52.8" x14ac:dyDescent="0.3">
      <c r="A44" s="211" t="s">
        <v>79</v>
      </c>
      <c r="B44" s="212" t="s">
        <v>52</v>
      </c>
      <c r="C44" s="197" t="s">
        <v>53</v>
      </c>
      <c r="D44" s="198">
        <v>1</v>
      </c>
      <c r="E44" s="199"/>
      <c r="F44" s="199">
        <f t="shared" ref="F44" si="3">D44*E44</f>
        <v>0</v>
      </c>
      <c r="G44" s="207"/>
    </row>
    <row r="45" spans="1:7" x14ac:dyDescent="0.3">
      <c r="A45" s="211"/>
      <c r="B45" s="212"/>
      <c r="C45" s="197"/>
      <c r="D45" s="198"/>
      <c r="E45" s="199"/>
      <c r="F45" s="199"/>
      <c r="G45" s="207"/>
    </row>
    <row r="46" spans="1:7" x14ac:dyDescent="0.3">
      <c r="A46" s="189">
        <v>8</v>
      </c>
      <c r="B46" s="291" t="s">
        <v>80</v>
      </c>
      <c r="C46" s="292"/>
      <c r="D46" s="292"/>
      <c r="E46" s="292"/>
      <c r="F46" s="293"/>
      <c r="G46" s="190">
        <f>SUM(F48:F48)</f>
        <v>0</v>
      </c>
    </row>
    <row r="47" spans="1:7" x14ac:dyDescent="0.3">
      <c r="A47" s="214"/>
      <c r="C47" s="221"/>
      <c r="D47" s="216"/>
      <c r="E47" s="217"/>
      <c r="F47" s="218"/>
      <c r="G47" s="219"/>
    </row>
    <row r="48" spans="1:7" ht="52.8" x14ac:dyDescent="0.3">
      <c r="A48" s="214" t="s">
        <v>81</v>
      </c>
      <c r="B48" s="213" t="s">
        <v>82</v>
      </c>
      <c r="C48" s="221" t="s">
        <v>83</v>
      </c>
      <c r="D48" s="216">
        <v>1</v>
      </c>
      <c r="E48" s="217"/>
      <c r="F48" s="218">
        <f t="shared" ref="F48" si="4">+D48*E48</f>
        <v>0</v>
      </c>
      <c r="G48" s="219"/>
    </row>
    <row r="49" spans="1:7" x14ac:dyDescent="0.3">
      <c r="A49" s="211"/>
      <c r="B49" s="212"/>
      <c r="C49" s="197"/>
      <c r="D49" s="198"/>
      <c r="E49" s="199"/>
      <c r="F49" s="199"/>
      <c r="G49" s="207"/>
    </row>
    <row r="50" spans="1:7" x14ac:dyDescent="0.3">
      <c r="A50" s="189">
        <v>9</v>
      </c>
      <c r="B50" s="291" t="s">
        <v>84</v>
      </c>
      <c r="C50" s="292"/>
      <c r="D50" s="292"/>
      <c r="E50" s="292"/>
      <c r="F50" s="293"/>
      <c r="G50" s="190">
        <f>+F52</f>
        <v>0</v>
      </c>
    </row>
    <row r="51" spans="1:7" x14ac:dyDescent="0.3">
      <c r="A51" s="211"/>
      <c r="B51" s="212"/>
      <c r="C51" s="197"/>
      <c r="D51" s="198"/>
      <c r="E51" s="199"/>
      <c r="F51" s="199"/>
      <c r="G51" s="207"/>
    </row>
    <row r="52" spans="1:7" ht="67.2" x14ac:dyDescent="0.3">
      <c r="A52" s="211" t="s">
        <v>85</v>
      </c>
      <c r="B52" s="213" t="s">
        <v>59</v>
      </c>
      <c r="C52" s="197" t="s">
        <v>53</v>
      </c>
      <c r="D52" s="198">
        <v>1</v>
      </c>
      <c r="E52" s="199"/>
      <c r="F52" s="199">
        <f>+D52*E52</f>
        <v>0</v>
      </c>
      <c r="G52" s="207"/>
    </row>
    <row r="53" spans="1:7" ht="15" thickBot="1" x14ac:dyDescent="0.35">
      <c r="A53" s="211"/>
      <c r="B53" s="222"/>
      <c r="C53" s="197"/>
      <c r="D53" s="223"/>
      <c r="E53" s="199"/>
      <c r="F53" s="199"/>
      <c r="G53" s="207"/>
    </row>
    <row r="54" spans="1:7" x14ac:dyDescent="0.3">
      <c r="A54" s="224"/>
      <c r="B54" s="294"/>
      <c r="C54" s="295"/>
      <c r="D54" s="295"/>
      <c r="E54" s="295"/>
      <c r="F54" s="296"/>
      <c r="G54" s="297">
        <f>+SUM(G10:G53)</f>
        <v>0</v>
      </c>
    </row>
    <row r="55" spans="1:7" ht="15" thickBot="1" x14ac:dyDescent="0.35">
      <c r="A55" s="225"/>
      <c r="B55" s="299" t="s">
        <v>60</v>
      </c>
      <c r="C55" s="300"/>
      <c r="D55" s="300"/>
      <c r="E55" s="300"/>
      <c r="F55" s="301"/>
      <c r="G55" s="298"/>
    </row>
  </sheetData>
  <mergeCells count="21">
    <mergeCell ref="G54:G55"/>
    <mergeCell ref="B55:F55"/>
    <mergeCell ref="A9:G9"/>
    <mergeCell ref="B10:F10"/>
    <mergeCell ref="B15:F15"/>
    <mergeCell ref="B21:F21"/>
    <mergeCell ref="B25:F25"/>
    <mergeCell ref="B31:F31"/>
    <mergeCell ref="B38:F38"/>
    <mergeCell ref="B42:F42"/>
    <mergeCell ref="B46:F46"/>
    <mergeCell ref="B50:F50"/>
    <mergeCell ref="B54:F54"/>
    <mergeCell ref="F4:G4"/>
    <mergeCell ref="F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2</vt:i4>
      </vt:variant>
    </vt:vector>
  </HeadingPairs>
  <TitlesOfParts>
    <vt:vector size="16" baseType="lpstr">
      <vt:lpstr>Lista de Casas</vt:lpstr>
      <vt:lpstr>Resumo Lote 9</vt:lpstr>
      <vt:lpstr>Cecília Lopes Tavares</vt:lpstr>
      <vt:lpstr>Augusta Garcia Moreno</vt:lpstr>
      <vt:lpstr>Raquel Fortes</vt:lpstr>
      <vt:lpstr>Ostelina Duarte</vt:lpstr>
      <vt:lpstr>Aleida Moreno</vt:lpstr>
      <vt:lpstr>Cecilia Gomes</vt:lpstr>
      <vt:lpstr>Felismina Martins Tavares</vt:lpstr>
      <vt:lpstr>Indira Almeida Tavares</vt:lpstr>
      <vt:lpstr>Audilia Lopes</vt:lpstr>
      <vt:lpstr>Isa Maria Tavares</vt:lpstr>
      <vt:lpstr>Genoveva Lopes</vt:lpstr>
      <vt:lpstr>Elisandra Gomes</vt:lpstr>
      <vt:lpstr>'Resumo Lote 9'!Área_de_Impressão</vt:lpstr>
      <vt:lpstr>'Resumo Lote 9'!Títulos_de_Impressão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Pinheiro</cp:lastModifiedBy>
  <cp:lastPrinted>2023-08-08T13:23:27Z</cp:lastPrinted>
  <dcterms:created xsi:type="dcterms:W3CDTF">2022-11-23T11:27:48Z</dcterms:created>
  <dcterms:modified xsi:type="dcterms:W3CDTF">2023-08-08T13:23:33Z</dcterms:modified>
</cp:coreProperties>
</file>