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TO CAPITAL HUMANO\Versão 2\Anexos_Pensamento Lote 8 e Lote 9\Mapas de Medições_PENSAMENTO\"/>
    </mc:Choice>
  </mc:AlternateContent>
  <bookViews>
    <workbookView xWindow="-108" yWindow="-108" windowWidth="23256" windowHeight="12456" tabRatio="889" activeTab="1"/>
  </bookViews>
  <sheets>
    <sheet name="Lista das Casas" sheetId="14" r:id="rId1"/>
    <sheet name="Resumo Lote 8" sheetId="18" r:id="rId2"/>
    <sheet name="Hermínia Mendes" sheetId="4" r:id="rId3"/>
    <sheet name="Maria De Fatima Morreira" sheetId="8" r:id="rId4"/>
    <sheet name="Maria do Carmo" sheetId="9" r:id="rId5"/>
    <sheet name="Maria Olinda" sheetId="11" r:id="rId6"/>
    <sheet name="Maria De Jesus" sheetId="13" r:id="rId7"/>
    <sheet name="Domingos Pereira Semedo" sheetId="2" r:id="rId8"/>
    <sheet name="Ariana Patricia" sheetId="3" r:id="rId9"/>
    <sheet name="Maria Lopes Oliveira" sheetId="15" r:id="rId10"/>
    <sheet name="Manuel Tavares da Silva" sheetId="16" r:id="rId11"/>
    <sheet name="Guilhermina Fernandes" sheetId="17" r:id="rId12"/>
  </sheets>
  <definedNames>
    <definedName name="_xlnm.Print_Area" localSheetId="1">'Resumo Lote 8'!$A$1:$F$40</definedName>
    <definedName name="_xlnm.Print_Titles" localSheetId="1">'Resumo Lote 8'!$7:$8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8" l="1"/>
  <c r="B28" i="18"/>
  <c r="B26" i="18"/>
  <c r="B24" i="18"/>
  <c r="B22" i="18"/>
  <c r="B20" i="18"/>
  <c r="B18" i="18"/>
  <c r="B16" i="18"/>
  <c r="B14" i="18"/>
  <c r="B12" i="18"/>
  <c r="B10" i="18"/>
  <c r="F46" i="4" l="1"/>
  <c r="G44" i="4"/>
  <c r="F42" i="4"/>
  <c r="G40" i="4"/>
  <c r="G33" i="4"/>
  <c r="D31" i="4"/>
  <c r="F31" i="4" s="1"/>
  <c r="F30" i="4"/>
  <c r="D30" i="4"/>
  <c r="F26" i="4"/>
  <c r="G24" i="4" s="1"/>
  <c r="F22" i="4"/>
  <c r="G20" i="4"/>
  <c r="F18" i="4"/>
  <c r="D18" i="4"/>
  <c r="D17" i="4"/>
  <c r="F17" i="4" s="1"/>
  <c r="G14" i="4" s="1"/>
  <c r="D12" i="4"/>
  <c r="F12" i="4" s="1"/>
  <c r="G10" i="4" s="1"/>
  <c r="G28" i="4" l="1"/>
  <c r="G48" i="4"/>
  <c r="F65" i="13"/>
  <c r="G62" i="13" s="1"/>
  <c r="F64" i="13"/>
  <c r="F60" i="13"/>
  <c r="G58" i="13"/>
  <c r="F56" i="13"/>
  <c r="G53" i="13" s="1"/>
  <c r="F55" i="13"/>
  <c r="F51" i="13"/>
  <c r="G49" i="13" s="1"/>
  <c r="F47" i="13"/>
  <c r="G45" i="13"/>
  <c r="F43" i="13"/>
  <c r="F42" i="13"/>
  <c r="F41" i="13"/>
  <c r="D39" i="13"/>
  <c r="F39" i="13" s="1"/>
  <c r="G36" i="13" s="1"/>
  <c r="D34" i="13"/>
  <c r="F34" i="13" s="1"/>
  <c r="G32" i="13" s="1"/>
  <c r="F30" i="13"/>
  <c r="G28" i="13" s="1"/>
  <c r="D30" i="13"/>
  <c r="F26" i="13"/>
  <c r="D26" i="13"/>
  <c r="D25" i="13"/>
  <c r="F25" i="13" s="1"/>
  <c r="D24" i="13"/>
  <c r="F24" i="13" s="1"/>
  <c r="D23" i="13"/>
  <c r="F23" i="13" s="1"/>
  <c r="D21" i="13"/>
  <c r="F17" i="13"/>
  <c r="G15" i="13" s="1"/>
  <c r="D17" i="13"/>
  <c r="F13" i="13"/>
  <c r="D13" i="13"/>
  <c r="D12" i="13"/>
  <c r="F12" i="13" s="1"/>
  <c r="F62" i="8"/>
  <c r="G60" i="8"/>
  <c r="F58" i="8"/>
  <c r="G56" i="8"/>
  <c r="F54" i="8"/>
  <c r="G52" i="8"/>
  <c r="F50" i="8"/>
  <c r="G48" i="8" s="1"/>
  <c r="F46" i="8"/>
  <c r="G44" i="8"/>
  <c r="F42" i="8"/>
  <c r="G39" i="8"/>
  <c r="D37" i="8"/>
  <c r="F37" i="8" s="1"/>
  <c r="D35" i="8"/>
  <c r="D36" i="8" s="1"/>
  <c r="F36" i="8" s="1"/>
  <c r="D31" i="8"/>
  <c r="F31" i="8" s="1"/>
  <c r="G29" i="8" s="1"/>
  <c r="F27" i="8"/>
  <c r="D27" i="8"/>
  <c r="D26" i="8"/>
  <c r="F26" i="8" s="1"/>
  <c r="D25" i="8"/>
  <c r="F25" i="8" s="1"/>
  <c r="D24" i="8"/>
  <c r="F24" i="8" s="1"/>
  <c r="F22" i="8"/>
  <c r="D22" i="8"/>
  <c r="D18" i="8"/>
  <c r="F18" i="8" s="1"/>
  <c r="G16" i="8" s="1"/>
  <c r="D14" i="8"/>
  <c r="F14" i="8" s="1"/>
  <c r="F13" i="8"/>
  <c r="D13" i="8"/>
  <c r="D12" i="8"/>
  <c r="F12" i="8" s="1"/>
  <c r="G19" i="13" l="1"/>
  <c r="G67" i="13" s="1"/>
  <c r="G10" i="13"/>
  <c r="G20" i="8"/>
  <c r="G10" i="8"/>
  <c r="F35" i="8"/>
  <c r="G33" i="8" s="1"/>
  <c r="G64" i="8" l="1"/>
  <c r="F49" i="2"/>
  <c r="F48" i="2"/>
  <c r="G46" i="2"/>
  <c r="F44" i="2"/>
  <c r="F43" i="2"/>
  <c r="G41" i="2"/>
  <c r="F39" i="2"/>
  <c r="G37" i="2" s="1"/>
  <c r="F35" i="2"/>
  <c r="F34" i="2"/>
  <c r="G32" i="2"/>
  <c r="F30" i="2"/>
  <c r="F29" i="2"/>
  <c r="G27" i="2"/>
  <c r="F25" i="2"/>
  <c r="F24" i="2"/>
  <c r="F23" i="2"/>
  <c r="D21" i="2"/>
  <c r="F21" i="2" s="1"/>
  <c r="D16" i="2"/>
  <c r="F16" i="2" s="1"/>
  <c r="F15" i="2"/>
  <c r="D15" i="2"/>
  <c r="D14" i="2"/>
  <c r="F14" i="2" s="1"/>
  <c r="D10" i="2"/>
  <c r="F10" i="2" s="1"/>
  <c r="G8" i="2" s="1"/>
  <c r="G18" i="2" l="1"/>
  <c r="G12" i="2"/>
  <c r="G51" i="2"/>
  <c r="G40" i="16"/>
  <c r="G36" i="16"/>
  <c r="F34" i="16"/>
  <c r="G32" i="16" s="1"/>
  <c r="F30" i="16"/>
  <c r="F29" i="16"/>
  <c r="G27" i="16"/>
  <c r="F25" i="16"/>
  <c r="F24" i="16"/>
  <c r="G22" i="16" s="1"/>
  <c r="F20" i="16"/>
  <c r="F19" i="16"/>
  <c r="D17" i="16"/>
  <c r="F17" i="16" s="1"/>
  <c r="D12" i="16"/>
  <c r="F12" i="16" s="1"/>
  <c r="D11" i="16"/>
  <c r="F11" i="16" s="1"/>
  <c r="D10" i="16"/>
  <c r="F10" i="16" s="1"/>
  <c r="G38" i="15"/>
  <c r="G34" i="15"/>
  <c r="F32" i="15"/>
  <c r="G30" i="15" s="1"/>
  <c r="F28" i="15"/>
  <c r="G26" i="15" s="1"/>
  <c r="F24" i="15"/>
  <c r="G22" i="15" s="1"/>
  <c r="D20" i="15"/>
  <c r="F20" i="15" s="1"/>
  <c r="D19" i="15"/>
  <c r="F19" i="15" s="1"/>
  <c r="D18" i="15"/>
  <c r="F18" i="15" s="1"/>
  <c r="F14" i="15"/>
  <c r="G12" i="15" s="1"/>
  <c r="D14" i="15"/>
  <c r="D10" i="15"/>
  <c r="F10" i="15" s="1"/>
  <c r="G8" i="15" s="1"/>
  <c r="G14" i="16" l="1"/>
  <c r="G8" i="16"/>
  <c r="G16" i="15"/>
  <c r="G43" i="15" s="1"/>
  <c r="G45" i="16" l="1"/>
  <c r="F59" i="9"/>
  <c r="G57" i="9"/>
  <c r="F55" i="9"/>
  <c r="G53" i="9"/>
  <c r="F51" i="9"/>
  <c r="G49" i="9"/>
  <c r="F47" i="9"/>
  <c r="G45" i="9" s="1"/>
  <c r="G38" i="9"/>
  <c r="F36" i="9"/>
  <c r="F35" i="9"/>
  <c r="D33" i="9"/>
  <c r="F33" i="9" s="1"/>
  <c r="F29" i="9"/>
  <c r="G27" i="9" s="1"/>
  <c r="D25" i="9"/>
  <c r="F25" i="9" s="1"/>
  <c r="D24" i="9"/>
  <c r="F24" i="9" s="1"/>
  <c r="F23" i="9"/>
  <c r="D23" i="9"/>
  <c r="D22" i="9"/>
  <c r="F22" i="9" s="1"/>
  <c r="D20" i="9"/>
  <c r="F20" i="9" s="1"/>
  <c r="D16" i="9"/>
  <c r="F16" i="9" s="1"/>
  <c r="G14" i="9" s="1"/>
  <c r="D12" i="9"/>
  <c r="F12" i="9" s="1"/>
  <c r="G10" i="9" s="1"/>
  <c r="F43" i="11"/>
  <c r="G41" i="11"/>
  <c r="F39" i="11"/>
  <c r="G37" i="11"/>
  <c r="F35" i="11"/>
  <c r="F34" i="11"/>
  <c r="F33" i="11"/>
  <c r="G30" i="11" s="1"/>
  <c r="D28" i="11"/>
  <c r="F28" i="11" s="1"/>
  <c r="D26" i="11"/>
  <c r="F26" i="11" s="1"/>
  <c r="F22" i="11"/>
  <c r="G20" i="11" s="1"/>
  <c r="D18" i="11"/>
  <c r="F18" i="11" s="1"/>
  <c r="D17" i="11"/>
  <c r="F17" i="11" s="1"/>
  <c r="F12" i="11"/>
  <c r="G10" i="11" s="1"/>
  <c r="D12" i="11"/>
  <c r="F47" i="3"/>
  <c r="G45" i="3"/>
  <c r="F43" i="3"/>
  <c r="F42" i="3"/>
  <c r="G40" i="3"/>
  <c r="F38" i="3"/>
  <c r="G36" i="3"/>
  <c r="G30" i="3"/>
  <c r="D28" i="3"/>
  <c r="F28" i="3" s="1"/>
  <c r="D27" i="3"/>
  <c r="F27" i="3" s="1"/>
  <c r="D23" i="3"/>
  <c r="F23" i="3" s="1"/>
  <c r="F22" i="3"/>
  <c r="D22" i="3"/>
  <c r="F17" i="3"/>
  <c r="D16" i="3"/>
  <c r="F16" i="3" s="1"/>
  <c r="F12" i="3"/>
  <c r="G10" i="3" s="1"/>
  <c r="D12" i="3"/>
  <c r="F55" i="17"/>
  <c r="G53" i="17"/>
  <c r="F51" i="17"/>
  <c r="F50" i="17"/>
  <c r="G48" i="17"/>
  <c r="F46" i="17"/>
  <c r="G44" i="17"/>
  <c r="F42" i="17"/>
  <c r="G40" i="17"/>
  <c r="G33" i="17"/>
  <c r="F31" i="17"/>
  <c r="D30" i="17"/>
  <c r="F30" i="17" s="1"/>
  <c r="D29" i="17"/>
  <c r="F29" i="17" s="1"/>
  <c r="D28" i="17"/>
  <c r="F28" i="17" s="1"/>
  <c r="D24" i="17"/>
  <c r="F24" i="17" s="1"/>
  <c r="D23" i="17"/>
  <c r="F23" i="17" s="1"/>
  <c r="G20" i="17" s="1"/>
  <c r="F18" i="17"/>
  <c r="D17" i="17"/>
  <c r="F17" i="17" s="1"/>
  <c r="F13" i="17"/>
  <c r="D12" i="17"/>
  <c r="F12" i="17" s="1"/>
  <c r="G26" i="17" l="1"/>
  <c r="G15" i="17"/>
  <c r="G10" i="17"/>
  <c r="G25" i="3"/>
  <c r="G19" i="3"/>
  <c r="G14" i="3"/>
  <c r="G18" i="9"/>
  <c r="D34" i="9"/>
  <c r="F34" i="9" s="1"/>
  <c r="G31" i="9" s="1"/>
  <c r="G14" i="11"/>
  <c r="D27" i="11"/>
  <c r="F27" i="11" s="1"/>
  <c r="G24" i="11" s="1"/>
  <c r="G57" i="17"/>
  <c r="G49" i="3" l="1"/>
  <c r="G61" i="9"/>
  <c r="G45" i="11"/>
</calcChain>
</file>

<file path=xl/comments1.xml><?xml version="1.0" encoding="utf-8"?>
<comments xmlns="http://schemas.openxmlformats.org/spreadsheetml/2006/main">
  <authors>
    <author>DGH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<sst xmlns="http://schemas.openxmlformats.org/spreadsheetml/2006/main" count="798" uniqueCount="208">
  <si>
    <t>PROPRIETÁRIA (O)</t>
  </si>
  <si>
    <t>Herminía Mendes Gonçalves</t>
  </si>
  <si>
    <t>Maria De Fatima Morreira</t>
  </si>
  <si>
    <t>Maria Do Carmo Vaz Rodrigues</t>
  </si>
  <si>
    <t>Maria Olinda Tavares Ribeiro Silva</t>
  </si>
  <si>
    <t>Maria De Jesus Dos Santos Monteiro</t>
  </si>
  <si>
    <t>Domingos Pereira Semedo</t>
  </si>
  <si>
    <t>Ariana Patricia Vieira Fernandes</t>
  </si>
  <si>
    <t>Maria Lopes Oliveira</t>
  </si>
  <si>
    <t>Manuel Tavares Da Silva</t>
  </si>
  <si>
    <t>Guilhermina Fernandes</t>
  </si>
  <si>
    <t>REQ.</t>
  </si>
  <si>
    <t>LOCAL</t>
  </si>
  <si>
    <t>PENSAMENTO - MUNICÍPIO DA PRAIA</t>
  </si>
  <si>
    <t>OBRA</t>
  </si>
  <si>
    <t>PROPR.</t>
  </si>
  <si>
    <t>GUILHERMINA FERNANDES</t>
  </si>
  <si>
    <t>Data: NOVEMBRO DE 2022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</si>
  <si>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</si>
  <si>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</si>
  <si>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</si>
  <si>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</si>
  <si>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</si>
  <si>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</si>
  <si>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</si>
  <si>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</si>
  <si>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</si>
  <si>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</si>
  <si>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</si>
  <si>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</si>
  <si>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</si>
  <si>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Demolição da </t>
    </r>
    <r>
      <rPr>
        <b/>
        <sz val="10"/>
        <rFont val="Times New Roman"/>
        <family val="1"/>
      </rPr>
      <t>laje em betão armado</t>
    </r>
    <r>
      <rPr>
        <sz val="10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</si>
  <si>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Times New Roman"/>
        <family val="1"/>
      </rPr>
      <t>3</t>
    </r>
  </si>
  <si>
    <t>1.2</t>
  </si>
  <si>
    <r>
      <t xml:space="preserve">Remoção de cobertura em </t>
    </r>
    <r>
      <rPr>
        <b/>
        <sz val="10"/>
        <rFont val="Times New Roman"/>
        <family val="1"/>
      </rPr>
      <t>chapa metálica</t>
    </r>
    <r>
      <rPr>
        <sz val="10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</si>
  <si>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0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</si>
  <si>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 xml:space="preserve">CAP II - ALVENARIA </t>
  </si>
  <si>
    <t>2.1</t>
  </si>
  <si>
    <t>Execução de alvenarias em blocos (20x20x40 cm)  de betão, assentes com argamassa de cimento e areia ao traço 1:4, incluindo todos os trabalhos e acessórios complementares, com as dimensões:</t>
  </si>
  <si>
    <t>2.2</t>
  </si>
  <si>
    <r>
      <t>Reestabelecimento do Pé-direito após demolição de elementos estruturais mediante a execução de alvenarias em blocos (20x</t>
    </r>
    <r>
      <rPr>
        <sz val="10"/>
        <rFont val="Calibri"/>
        <family val="2"/>
        <scheme val="minor"/>
      </rPr>
      <t>20x40 cm) de betão, assentes com argamassa de cimento e areia ao traço 1:4, incluindo todos os trabalhos e acessórios complementares.</t>
    </r>
  </si>
  <si>
    <t>CAP III - ESTRUTURAS DE BETÃO</t>
  </si>
  <si>
    <t>3.1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</si>
  <si>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</si>
  <si>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3.1.1</t>
  </si>
  <si>
    <t>Vigas</t>
  </si>
  <si>
    <t>3.1.2</t>
  </si>
  <si>
    <t>Lajes Maciças</t>
  </si>
  <si>
    <t xml:space="preserve">CAP IV - REVESTIMENTO </t>
  </si>
  <si>
    <t>4.1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</si>
  <si>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</si>
  <si>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4.2</t>
  </si>
  <si>
    <t>Pintura  interior e exterior com duas demãos de tintas de água Contrato incluindo barração.</t>
  </si>
  <si>
    <t>4.3</t>
  </si>
  <si>
    <t>Pintura  Teto com duas demãos de tintas de água Contrato incluindo barração.</t>
  </si>
  <si>
    <t>4.4</t>
  </si>
  <si>
    <t>Fornecimento e execução de betonilha afagada, ao traço 1:3:5, com 5cm de espessura sobre os pavimentos de betão, incluindo todos os trabalhos complementares.</t>
  </si>
  <si>
    <t>CAP V -INSTALAÇÃO SANITÁRIA (WC)</t>
  </si>
  <si>
    <t>5.1</t>
  </si>
  <si>
    <t xml:space="preserve">Equipamentos Sanitários incluindo </t>
  </si>
  <si>
    <t>Fornecimento e assentamento de lavatórios, incluindo torneiras, prever todos os acessórios de fixação, ligações a rede de água e esgoto, assim como o respectivo ensaio de modo a funcionar nas perfeitas condições.</t>
  </si>
  <si>
    <t>vg</t>
  </si>
  <si>
    <t>5.2</t>
  </si>
  <si>
    <t>Fornecimento e assentamento de sanita, incluindo autoclismo, prever todos os acessórios de fixação, ligações a rede de água e esgoto, assim como o respectivo ensaio de modo a funcionar nas perfeitas condições.</t>
  </si>
  <si>
    <t>5.3</t>
  </si>
  <si>
    <t>Fornecimento e assentamento de base de duche, prever todos os acessórios de fixação, ligações a rede de água e esgoto, assim como o respectivo ensaio de modo a funcionar nas perfeitas condições.</t>
  </si>
  <si>
    <t>CAP VI - ELETRICIDADE</t>
  </si>
  <si>
    <t>6.1</t>
  </si>
  <si>
    <t>Reposição e instalação de tubagens e fios em
lajes para pontos de iluminação e acesso a
rede, incluinto todos os trabalhos e acessórios complementares</t>
  </si>
  <si>
    <t xml:space="preserve">CAP VII - REDE DE ÁGUA </t>
  </si>
  <si>
    <t>7.1</t>
  </si>
  <si>
    <t>Fornecimento e instalação de rede de água, incluindo os acessórios, ligações e todos os trabalhos acessórios necessários para o seu bom funcionamento.</t>
  </si>
  <si>
    <t>vg.</t>
  </si>
  <si>
    <t>CAP VIII - REDE DE ESGOTO</t>
  </si>
  <si>
    <t>8.1</t>
  </si>
  <si>
    <t>Fornecimento e instalação de rede de esgotos , incluindo tubagens PVC, abertura e tapamento de roços, acessórios, ligações e todos os trabalhos acessórios necessários para o seu bom funcionamento.</t>
  </si>
  <si>
    <t>8.2</t>
  </si>
  <si>
    <t>Execução da fossa séptica em betão ciclópico incluindo poço absorvente e tampa em betão armado incluindo todos os trabalhos acessórios e complementares.</t>
  </si>
  <si>
    <t>CAP IX - COZINHA</t>
  </si>
  <si>
    <t>9.1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</si>
  <si>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</si>
  <si>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TOTAL GERAL:</t>
  </si>
  <si>
    <t>ARIANA PATRICIA VIEIRA FERNANDES</t>
  </si>
  <si>
    <t>Pintura  faixada principal e lateral com duas demãos de tintas de água Contrato incluindo barração.</t>
  </si>
  <si>
    <t>5.1.1</t>
  </si>
  <si>
    <t>5.1.2</t>
  </si>
  <si>
    <t>un.</t>
  </si>
  <si>
    <t>7.2</t>
  </si>
  <si>
    <t>CAP VIII - COZINHA</t>
  </si>
  <si>
    <t>MARIA OLINDA TAVARES RIBEIRO SILVA</t>
  </si>
  <si>
    <t>CAP II - ESTRUTURAS DE BETÃO</t>
  </si>
  <si>
    <t>2.1.1</t>
  </si>
  <si>
    <t>2.1.2</t>
  </si>
  <si>
    <t xml:space="preserve">CAP III - ALVENARIA </t>
  </si>
  <si>
    <t>5.1.3</t>
  </si>
  <si>
    <t>CAP V - ELETRICIDADE</t>
  </si>
  <si>
    <t>CAP VI - COZINHA</t>
  </si>
  <si>
    <t>MARIA DO CARMO VAZ RODRIGUES</t>
  </si>
  <si>
    <t>CAP II - TERRAPLENAGEM / ESCAVAÇÃO</t>
  </si>
  <si>
    <t>Escavação de terreno de qualquer natureza para execução de fundações 0.80 de largura, incluíndo remoção e transporte de material sobrante.</t>
  </si>
  <si>
    <t>Fornecimento e colocação de betão de limpeza com 0,05 m de espessura incluindo todos os trabalhos e meios necessários para sua boa execução:</t>
  </si>
  <si>
    <t>3.2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</si>
  <si>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</si>
  <si>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</si>
  <si>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</si>
  <si>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</si>
  <si>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</si>
  <si>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</si>
  <si>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</si>
  <si>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 xml:space="preserve">CAP V - REVESTIMENTO </t>
  </si>
  <si>
    <t>5.4</t>
  </si>
  <si>
    <t>CAP VI -INSTALAÇÃO SANITÁRIA (WC)</t>
  </si>
  <si>
    <t>6.1.1</t>
  </si>
  <si>
    <t>6.1.2</t>
  </si>
  <si>
    <t>6.1.3</t>
  </si>
  <si>
    <t>CAP VII - ELETRICIDADE</t>
  </si>
  <si>
    <t xml:space="preserve">CAP VIII - REDE DE ÁGUA </t>
  </si>
  <si>
    <t>un</t>
  </si>
  <si>
    <t>CAP IX - REDE DE ESGOTO</t>
  </si>
  <si>
    <t>CAP X - COZINHA</t>
  </si>
  <si>
    <t>10</t>
  </si>
  <si>
    <t>MARIA LOPES OLIVEIRA</t>
  </si>
  <si>
    <t>Data: JULHO DE 2023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</si>
  <si>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</si>
  <si>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</si>
  <si>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 xml:space="preserve">CAP III - REVESTIMENTO </t>
  </si>
  <si>
    <t>3.3</t>
  </si>
  <si>
    <t>CAP IV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</si>
  <si>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</si>
  <si>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CAP V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</si>
  <si>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</si>
  <si>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 xml:space="preserve">CAP VII - CAIXILHARIA (Reabilitação) </t>
  </si>
  <si>
    <t>Reparação de caixilharia exterior de madeira, através da correção de desenquadramentos e substituição de ferragens deterioradas. Incluindo reposição de revestimentos e pinturas.</t>
  </si>
  <si>
    <t>CAP VIII - ENVOLVENTE</t>
  </si>
  <si>
    <t>Pavimento em betonilha. A ser aplicado na extensão das fachadas adjacentes á via pública com àrea equivalente a 1,5 metros vezes o comprimento da fachada.</t>
  </si>
  <si>
    <t>Fornecimento e plantação de árvore menor de 14 cm de perímetro de tronco a 1 m do solo, com meios manuais, em terreno arenoso, em cova de 60x60x60 cm.</t>
  </si>
  <si>
    <t>MANUEL TAVARES DA SILVA</t>
  </si>
  <si>
    <t xml:space="preserve">CAP I - REVESTIMENTO </t>
  </si>
  <si>
    <t>1.3</t>
  </si>
  <si>
    <t>CAP II - INSTALAÇÃO SANITÁRIA (WC)</t>
  </si>
  <si>
    <t>Revestimentos</t>
  </si>
  <si>
    <t>Execução de reboco sobre paredes interiores em blocos de betão, acabamento areado fino, prever reconstituição das ombreiras dos vãos remates e alhetas de separação com outros revestimentos.</t>
  </si>
  <si>
    <t>2.2.1</t>
  </si>
  <si>
    <t xml:space="preserve">un </t>
  </si>
  <si>
    <t>2.2.2</t>
  </si>
  <si>
    <t>Fornecimento e assentamento de base de duche de pavimento, prever todos os acessórios de fixação, ligações a rede de água e esgoto, assim como o respectivo ensaio de modo a funcionar nas perfeitas condições.</t>
  </si>
  <si>
    <t>CAP III - REDE DE ÁGUA</t>
  </si>
  <si>
    <r>
      <t>Fornecimento e instalação de rede de água para</t>
    </r>
    <r>
      <rPr>
        <b/>
        <sz val="10"/>
        <rFont val="Calibri"/>
        <family val="2"/>
        <scheme val="minor"/>
      </rPr>
      <t xml:space="preserve"> Lavatório, Sanita,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</si>
  <si>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t>CAP IV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</si>
  <si>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 xml:space="preserve">Lavatório, Duche </t>
    </r>
    <r>
      <rPr>
        <sz val="10"/>
        <rFont val="Calibri"/>
        <family val="2"/>
        <scheme val="minor"/>
      </rPr>
      <t>incluindo tubagens de PVC, abertura e tapamento de roços, acessórios, ligações e todos os trabalhos acessórios necessários para o seu bom funcionamento.</t>
    </r>
  </si>
  <si>
    <t>CAP V - COZINHA</t>
  </si>
  <si>
    <t xml:space="preserve">CAP VI - CAIXILHARIA (Reabilitação) </t>
  </si>
  <si>
    <t>CAP VII - ENVOLVENTE</t>
  </si>
  <si>
    <t>DOMINGOS PEREIRA SEMEDO</t>
  </si>
  <si>
    <t xml:space="preserve">CAP II - REVESTIMENTO </t>
  </si>
  <si>
    <t>2.3</t>
  </si>
  <si>
    <t>CAP III - INSTALAÇÃO SANITÁRIA (WC)</t>
  </si>
  <si>
    <r>
      <t xml:space="preserve">Fornecimento e assentamento de </t>
    </r>
    <r>
      <rPr>
        <b/>
        <sz val="10"/>
        <rFont val="Calibri"/>
        <family val="2"/>
        <scheme val="minor"/>
      </rPr>
      <t>autoclismo</t>
    </r>
    <r>
      <rPr>
        <sz val="10"/>
        <rFont val="Calibri"/>
        <family val="2"/>
        <scheme val="minor"/>
      </rPr>
      <t xml:space="preserve"> para sanita, prever todos os acessórios de fixação, ligações a rede de água e esgoto, assim como o respectivo ensaio de modo a funcionar nas perfeitas condições.</t>
    </r>
  </si>
  <si>
    <r>
      <t xml:space="preserve">Fornecimento e assentamento de </t>
    </r>
    <r>
      <rPr>
        <b/>
        <sz val="10"/>
        <rFont val="Calibri"/>
        <family val="2"/>
        <scheme val="minor"/>
      </rPr>
      <t>lavatórios</t>
    </r>
    <r>
      <rPr>
        <sz val="10"/>
        <rFont val="Calibri"/>
        <family val="2"/>
        <scheme val="minor"/>
      </rPr>
      <t>, incluindo torneiras, prever todos os acessórios de fixação, ligações a rede de água e esgoto, assim como o respectivo ensaio de modo a funcionar nas perfeitas condições.</t>
    </r>
  </si>
  <si>
    <r>
      <t xml:space="preserve">Fornecimento e assentamento de </t>
    </r>
    <r>
      <rPr>
        <b/>
        <sz val="10"/>
        <rFont val="Calibri"/>
        <family val="2"/>
        <scheme val="minor"/>
      </rPr>
      <t>base de duche</t>
    </r>
    <r>
      <rPr>
        <sz val="10"/>
        <rFont val="Calibri"/>
        <family val="2"/>
        <scheme val="minor"/>
      </rPr>
      <t>, prever todos os acessórios de fixação, ligações a rede de água e esgoto, assim como o respectivo ensaio de modo a funcionar nas perfeitas condições.</t>
    </r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</si>
  <si>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Sanita,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</si>
  <si>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Lavatório,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</si>
  <si>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t>CAP VII - CARPINTARIA</t>
  </si>
  <si>
    <t>Fornecimento e colocação de Porta (0.7*2.0),  todos os trabalhos acessórios e complementares.</t>
  </si>
  <si>
    <t>Fornecimento e colocação de Janela (0,6*0,6), todos os trabalhos acessórios e complementares.</t>
  </si>
  <si>
    <t xml:space="preserve"> PENSAMENTO - MUNICÍPIO DA PRAIA</t>
  </si>
  <si>
    <t>MARIA DE FATIMA MORREIRA</t>
  </si>
  <si>
    <r>
      <t xml:space="preserve">Demolição da </t>
    </r>
    <r>
      <rPr>
        <b/>
        <sz val="10"/>
        <rFont val="Calibri"/>
        <family val="2"/>
        <scheme val="minor"/>
      </rPr>
      <t>laje em 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</si>
  <si>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</si>
  <si>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Escavação de terreno de qualquer natureza para execução de fundação 0.80 de largura, incluindo remoção e transporte de material sobrante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</si>
  <si>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</si>
  <si>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Fornecimento e colocação de betão de limpeza, incluindo todos os trabalhos e meios necessários para a sua boa execução.</t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</si>
  <si>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</si>
  <si>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t>CAP VI - INSTALAÇÃO SANITÁRIA (WC)</t>
  </si>
  <si>
    <t>Reposição e instalação de tubagens e fios em
lajes para pontos de iluminação e acesso a
rede, incluinto todos os trabalhos e acessórios complementares.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</si>
  <si>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</si>
  <si>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 xml:space="preserve">Duche </t>
    </r>
    <r>
      <rPr>
        <sz val="10"/>
        <rFont val="Calibri"/>
        <family val="2"/>
        <scheme val="minor"/>
      </rPr>
      <t>e</t>
    </r>
    <r>
      <rPr>
        <b/>
        <sz val="10"/>
        <rFont val="Calibri"/>
        <family val="2"/>
        <scheme val="minor"/>
      </rPr>
      <t xml:space="preserve"> 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</si>
  <si>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 xml:space="preserve">Duche </t>
    </r>
    <r>
      <rPr>
        <sz val="10"/>
        <rFont val="Calibri"/>
        <family val="2"/>
        <scheme val="minor"/>
      </rPr>
      <t>e</t>
    </r>
    <r>
      <rPr>
        <b/>
        <sz val="10"/>
        <rFont val="Calibri"/>
        <family val="2"/>
        <scheme val="minor"/>
      </rPr>
      <t xml:space="preserve"> 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</si>
  <si>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10.1</t>
  </si>
  <si>
    <t>Fornecimento de bancada de cozinha (executada com tampa betão á vista e laterais em parede de 10 cm de espessura), lava loiças (1 cuba), incluindo os seus acessórios, conforme o projeto de arquitetura.</t>
  </si>
  <si>
    <t xml:space="preserve">CAP XI - CAIXILHARIA (Reabilitação) </t>
  </si>
  <si>
    <t>11.1</t>
  </si>
  <si>
    <t>Reparação de caixilharia exterior metálica, através da correção de desenquadramentos e substituição de ferragens deterioradas. Incluindo reposição de revestimentos e pinturas.</t>
  </si>
  <si>
    <t>MARIA DE JESUS DOS SANTOS MONTEIRO</t>
  </si>
  <si>
    <t>3.1.3</t>
  </si>
  <si>
    <t>3.1.4</t>
  </si>
  <si>
    <t>Betonilha de regularização com argamassa de cimento e areia com 0,03m de espessura,incluindo todos os trabalhos complementares.</t>
  </si>
  <si>
    <t>6.2</t>
  </si>
  <si>
    <t>6.2.1</t>
  </si>
  <si>
    <t>6.2.2</t>
  </si>
  <si>
    <t>6.2.3</t>
  </si>
  <si>
    <t>Reposição e instalação de tubagens e fios em
lajes para pontos de iluminação e acesso a
rede, incluindo todos os trabalhos e acessórios complementares.</t>
  </si>
  <si>
    <t>Fornecimento e instalação de rede de água, incluindo os acessórios, ligações e todos os trabalhos acessórios necessários para um bom funcionamento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</si>
  <si>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</si>
  <si>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9.2</t>
  </si>
  <si>
    <t>Execução da fossa séptica (incluindo Poço Absorvente) em betão ciclópico e tampa em betão armado incluindo todos os trabalhos acessórios e complementares.</t>
  </si>
  <si>
    <t>CAP XI - CARPINTARIA</t>
  </si>
  <si>
    <t>12.1</t>
  </si>
  <si>
    <t>Fornecimento e colocação de Porta (0.8*2.0),  todos os trabalhos acessórios e complementares.</t>
  </si>
  <si>
    <t>12.2</t>
  </si>
  <si>
    <t>Fornecimento e colocação de janela (0,6*0,6),  todos os trabalhos acessórios e complementares.</t>
  </si>
  <si>
    <t>HERMINÍA MENDES GONÇALVES</t>
  </si>
  <si>
    <t>CAP IV - COBERTURA</t>
  </si>
  <si>
    <r>
      <t xml:space="preserve">Execução de cobertura de </t>
    </r>
    <r>
      <rPr>
        <b/>
        <sz val="10"/>
        <rFont val="Times New Roman"/>
        <family val="1"/>
      </rPr>
      <t>chapa metálica</t>
    </r>
    <r>
      <rPr>
        <sz val="10"/>
        <rFont val="Times New Roman"/>
        <family val="1"/>
      </rPr>
      <t>, incluindo estrutura e todos os trabalhos acessórios e complementares para a sua correta execução.</t>
    </r>
  </si>
  <si>
    <t>MAPA RESUMO</t>
  </si>
  <si>
    <t>NOMES</t>
  </si>
  <si>
    <t xml:space="preserve">Valor </t>
  </si>
  <si>
    <t>LOTE 8 - BAIRRO PENSAMENTO - 10 CASAS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</si>
</sst>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8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37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4" xfId="1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/>
    <xf numFmtId="49" fontId="5" fillId="0" borderId="13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12" xfId="0" applyFont="1" applyBorder="1"/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vertical="center"/>
    </xf>
    <xf numFmtId="0" fontId="7" fillId="0" borderId="11" xfId="0" applyFont="1" applyBorder="1"/>
    <xf numFmtId="49" fontId="2" fillId="0" borderId="1" xfId="0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4" fontId="5" fillId="0" borderId="20" xfId="1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5" fillId="0" borderId="2" xfId="0" applyFont="1" applyBorder="1"/>
    <xf numFmtId="49" fontId="5" fillId="0" borderId="0" xfId="0" applyNumberFormat="1" applyFont="1" applyAlignment="1">
      <alignment horizontal="left" vertical="center" wrapText="1"/>
    </xf>
    <xf numFmtId="0" fontId="5" fillId="0" borderId="3" xfId="0" applyFont="1" applyBorder="1"/>
    <xf numFmtId="164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/>
    <xf numFmtId="49" fontId="2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4" fontId="5" fillId="0" borderId="17" xfId="1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5" fillId="0" borderId="18" xfId="0" applyFont="1" applyBorder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4" fontId="11" fillId="4" borderId="34" xfId="0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" fontId="12" fillId="0" borderId="14" xfId="1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/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top" wrapText="1"/>
    </xf>
    <xf numFmtId="4" fontId="12" fillId="0" borderId="14" xfId="0" applyNumberFormat="1" applyFont="1" applyBorder="1" applyAlignment="1">
      <alignment vertical="center"/>
    </xf>
    <xf numFmtId="49" fontId="11" fillId="2" borderId="35" xfId="0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" fontId="2" fillId="4" borderId="34" xfId="0" applyNumberFormat="1" applyFont="1" applyFill="1" applyBorder="1" applyAlignment="1">
      <alignment horizontal="center" vertical="center"/>
    </xf>
    <xf numFmtId="4" fontId="2" fillId="5" borderId="34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4" fontId="5" fillId="0" borderId="46" xfId="1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5" fillId="0" borderId="47" xfId="0" applyFont="1" applyBorder="1"/>
    <xf numFmtId="164" fontId="5" fillId="0" borderId="48" xfId="0" applyNumberFormat="1" applyFont="1" applyBorder="1" applyAlignment="1">
      <alignment horizontal="center" vertical="center"/>
    </xf>
    <xf numFmtId="0" fontId="5" fillId="0" borderId="49" xfId="0" applyFont="1" applyBorder="1"/>
    <xf numFmtId="49" fontId="5" fillId="0" borderId="48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/>
    </xf>
    <xf numFmtId="4" fontId="5" fillId="0" borderId="48" xfId="1" applyNumberFormat="1" applyFont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5" fillId="0" borderId="53" xfId="1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4" fontId="5" fillId="0" borderId="51" xfId="1" applyNumberFormat="1" applyFont="1" applyBorder="1" applyAlignment="1">
      <alignment horizontal="center" vertical="center"/>
    </xf>
    <xf numFmtId="0" fontId="5" fillId="0" borderId="54" xfId="0" applyFont="1" applyBorder="1"/>
    <xf numFmtId="0" fontId="6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49" fontId="12" fillId="0" borderId="53" xfId="0" applyNumberFormat="1" applyFont="1" applyBorder="1" applyAlignment="1">
      <alignment horizontal="center" vertical="center"/>
    </xf>
    <xf numFmtId="4" fontId="12" fillId="0" borderId="51" xfId="1" applyNumberFormat="1" applyFont="1" applyBorder="1" applyAlignment="1">
      <alignment horizontal="center" vertical="center"/>
    </xf>
    <xf numFmtId="164" fontId="12" fillId="0" borderId="51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51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4" fillId="0" borderId="0" xfId="0" applyNumberFormat="1" applyFont="1"/>
    <xf numFmtId="0" fontId="2" fillId="3" borderId="30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 wrapText="1"/>
    </xf>
    <xf numFmtId="0" fontId="2" fillId="0" borderId="51" xfId="1" applyFont="1" applyBorder="1" applyAlignment="1">
      <alignment horizontal="left" vertical="center" wrapText="1"/>
    </xf>
    <xf numFmtId="0" fontId="2" fillId="0" borderId="52" xfId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 wrapText="1"/>
    </xf>
    <xf numFmtId="164" fontId="5" fillId="0" borderId="51" xfId="0" applyNumberFormat="1" applyFont="1" applyBorder="1" applyAlignment="1">
      <alignment horizontal="center" vertical="center"/>
    </xf>
    <xf numFmtId="164" fontId="5" fillId="0" borderId="52" xfId="0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vertical="center"/>
    </xf>
    <xf numFmtId="164" fontId="11" fillId="0" borderId="0" xfId="0" applyNumberFormat="1" applyFont="1"/>
    <xf numFmtId="0" fontId="11" fillId="3" borderId="30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64" fontId="11" fillId="0" borderId="14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4" xfId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vertical="center"/>
    </xf>
    <xf numFmtId="49" fontId="12" fillId="0" borderId="14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49" fontId="12" fillId="0" borderId="15" xfId="1" applyNumberFormat="1" applyFont="1" applyBorder="1" applyAlignment="1">
      <alignment vertical="center"/>
    </xf>
    <xf numFmtId="49" fontId="12" fillId="0" borderId="53" xfId="1" applyNumberFormat="1" applyFont="1" applyBorder="1" applyAlignment="1">
      <alignment vertical="center"/>
    </xf>
    <xf numFmtId="49" fontId="12" fillId="0" borderId="21" xfId="1" applyNumberFormat="1" applyFont="1" applyBorder="1" applyAlignment="1">
      <alignment vertical="center"/>
    </xf>
    <xf numFmtId="49" fontId="12" fillId="0" borderId="51" xfId="1" applyNumberFormat="1" applyFont="1" applyBorder="1" applyAlignment="1">
      <alignment vertical="center"/>
    </xf>
    <xf numFmtId="164" fontId="12" fillId="0" borderId="51" xfId="1" applyNumberFormat="1" applyFont="1" applyBorder="1" applyAlignment="1">
      <alignment vertical="center"/>
    </xf>
    <xf numFmtId="164" fontId="12" fillId="0" borderId="52" xfId="0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4" fontId="12" fillId="0" borderId="14" xfId="0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vertical="center"/>
    </xf>
    <xf numFmtId="164" fontId="11" fillId="0" borderId="14" xfId="1" applyNumberFormat="1" applyFont="1" applyBorder="1" applyAlignment="1">
      <alignment vertical="center"/>
    </xf>
    <xf numFmtId="49" fontId="11" fillId="0" borderId="15" xfId="1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5" fillId="6" borderId="14" xfId="0" applyNumberFormat="1" applyFont="1" applyFill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55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4" fontId="5" fillId="0" borderId="56" xfId="1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/>
    <xf numFmtId="49" fontId="5" fillId="0" borderId="55" xfId="1" applyNumberFormat="1" applyFont="1" applyBorder="1" applyAlignment="1">
      <alignment vertical="center"/>
    </xf>
    <xf numFmtId="49" fontId="2" fillId="0" borderId="56" xfId="1" applyNumberFormat="1" applyFont="1" applyBorder="1" applyAlignment="1">
      <alignment vertical="center"/>
    </xf>
    <xf numFmtId="164" fontId="2" fillId="0" borderId="56" xfId="1" applyNumberFormat="1" applyFont="1" applyBorder="1" applyAlignment="1">
      <alignment vertical="center"/>
    </xf>
    <xf numFmtId="49" fontId="2" fillId="0" borderId="54" xfId="1" applyNumberFormat="1" applyFont="1" applyBorder="1" applyAlignment="1">
      <alignment vertical="center"/>
    </xf>
    <xf numFmtId="4" fontId="0" fillId="0" borderId="0" xfId="0" applyNumberFormat="1"/>
    <xf numFmtId="49" fontId="5" fillId="0" borderId="55" xfId="1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left" vertical="center" wrapText="1"/>
    </xf>
    <xf numFmtId="0" fontId="5" fillId="0" borderId="5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16" fillId="0" borderId="10" xfId="0" applyFont="1" applyBorder="1"/>
    <xf numFmtId="49" fontId="2" fillId="0" borderId="57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4" fontId="5" fillId="0" borderId="58" xfId="1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0" fontId="5" fillId="0" borderId="27" xfId="0" applyFont="1" applyBorder="1"/>
    <xf numFmtId="49" fontId="5" fillId="0" borderId="5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4" fontId="5" fillId="0" borderId="22" xfId="1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8" fillId="0" borderId="0" xfId="0" applyFont="1" applyFill="1"/>
    <xf numFmtId="0" fontId="11" fillId="3" borderId="31" xfId="1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11" fillId="3" borderId="33" xfId="1" applyFont="1" applyFill="1" applyBorder="1" applyAlignment="1">
      <alignment horizontal="left" vertical="center" wrapText="1"/>
    </xf>
    <xf numFmtId="4" fontId="11" fillId="2" borderId="36" xfId="0" applyNumberFormat="1" applyFont="1" applyFill="1" applyBorder="1" applyAlignment="1">
      <alignment horizontal="center" vertical="center"/>
    </xf>
    <xf numFmtId="4" fontId="11" fillId="2" borderId="37" xfId="0" applyNumberFormat="1" applyFont="1" applyFill="1" applyBorder="1" applyAlignment="1">
      <alignment horizontal="center" vertical="center"/>
    </xf>
    <xf numFmtId="4" fontId="11" fillId="2" borderId="38" xfId="0" applyNumberFormat="1" applyFont="1" applyFill="1" applyBorder="1" applyAlignment="1">
      <alignment horizontal="center" vertical="center"/>
    </xf>
    <xf numFmtId="3" fontId="11" fillId="2" borderId="39" xfId="0" applyNumberFormat="1" applyFont="1" applyFill="1" applyBorder="1" applyAlignment="1">
      <alignment horizontal="center" vertical="center"/>
    </xf>
    <xf numFmtId="3" fontId="11" fillId="2" borderId="43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4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4" fontId="11" fillId="2" borderId="25" xfId="0" applyNumberFormat="1" applyFont="1" applyFill="1" applyBorder="1" applyAlignment="1">
      <alignment horizontal="center" vertical="center"/>
    </xf>
    <xf numFmtId="4" fontId="11" fillId="2" borderId="28" xfId="0" applyNumberFormat="1" applyFont="1" applyFill="1" applyBorder="1" applyAlignment="1">
      <alignment horizontal="center" vertical="center"/>
    </xf>
    <xf numFmtId="164" fontId="11" fillId="2" borderId="25" xfId="0" applyNumberFormat="1" applyFont="1" applyFill="1" applyBorder="1" applyAlignment="1">
      <alignment horizontal="center" vertical="center" wrapText="1"/>
    </xf>
    <xf numFmtId="164" fontId="11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3" borderId="31" xfId="1" applyFont="1" applyFill="1" applyBorder="1" applyAlignment="1">
      <alignment horizontal="left" vertical="center" wrapText="1"/>
    </xf>
    <xf numFmtId="0" fontId="2" fillId="3" borderId="32" xfId="1" applyFont="1" applyFill="1" applyBorder="1" applyAlignment="1">
      <alignment horizontal="left" vertical="center" wrapText="1"/>
    </xf>
    <xf numFmtId="0" fontId="2" fillId="3" borderId="33" xfId="1" applyFont="1" applyFill="1" applyBorder="1" applyAlignment="1">
      <alignment horizontal="left" vertical="center" wrapText="1"/>
    </xf>
    <xf numFmtId="0" fontId="2" fillId="3" borderId="44" xfId="1" applyFont="1" applyFill="1" applyBorder="1" applyAlignment="1">
      <alignment horizontal="left" vertical="center" wrapText="1"/>
    </xf>
    <xf numFmtId="4" fontId="2" fillId="2" borderId="36" xfId="0" applyNumberFormat="1" applyFont="1" applyFill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/>
    </xf>
    <xf numFmtId="4" fontId="2" fillId="2" borderId="38" xfId="0" applyNumberFormat="1" applyFont="1" applyFill="1" applyBorder="1" applyAlignment="1">
      <alignment horizontal="center" vertical="center"/>
    </xf>
    <xf numFmtId="4" fontId="2" fillId="2" borderId="39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4" fontId="2" fillId="2" borderId="4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5" borderId="31" xfId="1" applyFont="1" applyFill="1" applyBorder="1" applyAlignment="1">
      <alignment horizontal="left" vertical="center" wrapText="1"/>
    </xf>
    <xf numFmtId="0" fontId="2" fillId="5" borderId="32" xfId="1" applyFont="1" applyFill="1" applyBorder="1" applyAlignment="1">
      <alignment horizontal="left" vertical="center" wrapText="1"/>
    </xf>
    <xf numFmtId="0" fontId="2" fillId="5" borderId="33" xfId="1" applyFont="1" applyFill="1" applyBorder="1" applyAlignment="1">
      <alignment horizontal="left" vertical="center" wrapText="1"/>
    </xf>
    <xf numFmtId="4" fontId="11" fillId="2" borderId="39" xfId="0" applyNumberFormat="1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center"/>
    </xf>
    <xf numFmtId="164" fontId="22" fillId="0" borderId="0" xfId="0" applyNumberFormat="1" applyFont="1"/>
    <xf numFmtId="0" fontId="23" fillId="3" borderId="59" xfId="0" applyFont="1" applyFill="1" applyBorder="1" applyAlignment="1">
      <alignment horizontal="center" vertical="center"/>
    </xf>
    <xf numFmtId="0" fontId="23" fillId="3" borderId="60" xfId="0" applyFont="1" applyFill="1" applyBorder="1" applyAlignment="1">
      <alignment horizontal="center" vertical="center"/>
    </xf>
    <xf numFmtId="0" fontId="23" fillId="3" borderId="61" xfId="0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6" borderId="62" xfId="0" applyFont="1" applyFill="1" applyBorder="1" applyAlignment="1">
      <alignment horizontal="center" vertical="center"/>
    </xf>
    <xf numFmtId="0" fontId="23" fillId="6" borderId="44" xfId="1" applyFont="1" applyFill="1" applyBorder="1" applyAlignment="1">
      <alignment horizontal="left" vertical="center" wrapText="1"/>
    </xf>
    <xf numFmtId="4" fontId="23" fillId="7" borderId="63" xfId="0" applyNumberFormat="1" applyFont="1" applyFill="1" applyBorder="1" applyAlignment="1">
      <alignment horizontal="center" vertical="center"/>
    </xf>
    <xf numFmtId="0" fontId="23" fillId="6" borderId="62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horizontal="center" vertical="center"/>
    </xf>
    <xf numFmtId="0" fontId="23" fillId="6" borderId="63" xfId="0" applyFont="1" applyFill="1" applyBorder="1" applyAlignment="1">
      <alignment horizontal="center" vertical="center"/>
    </xf>
    <xf numFmtId="4" fontId="23" fillId="6" borderId="64" xfId="0" applyNumberFormat="1" applyFont="1" applyFill="1" applyBorder="1" applyAlignment="1">
      <alignment horizontal="left" vertical="center"/>
    </xf>
    <xf numFmtId="4" fontId="23" fillId="6" borderId="65" xfId="0" applyNumberFormat="1" applyFont="1" applyFill="1" applyBorder="1" applyAlignment="1">
      <alignment horizontal="left" vertical="center"/>
    </xf>
    <xf numFmtId="4" fontId="23" fillId="6" borderId="66" xfId="0" applyNumberFormat="1" applyFont="1" applyFill="1" applyBorder="1" applyAlignment="1">
      <alignment horizontal="center" vertical="center"/>
    </xf>
    <xf numFmtId="4" fontId="23" fillId="6" borderId="67" xfId="0" applyNumberFormat="1" applyFont="1" applyFill="1" applyBorder="1" applyAlignment="1">
      <alignment horizontal="left" vertical="center"/>
    </xf>
    <xf numFmtId="4" fontId="23" fillId="6" borderId="68" xfId="0" applyNumberFormat="1" applyFont="1" applyFill="1" applyBorder="1" applyAlignment="1">
      <alignment horizontal="left" vertical="center"/>
    </xf>
    <xf numFmtId="4" fontId="23" fillId="6" borderId="69" xfId="0" applyNumberFormat="1" applyFont="1" applyFill="1" applyBorder="1" applyAlignment="1">
      <alignment horizontal="center" vertical="center"/>
    </xf>
    <xf numFmtId="0" fontId="21" fillId="0" borderId="0" xfId="0" applyFont="1"/>
    <xf numFmtId="0" fontId="24" fillId="0" borderId="0" xfId="0" applyFont="1"/>
    <xf numFmtId="164" fontId="24" fillId="0" borderId="0" xfId="0" applyNumberFormat="1" applyFont="1"/>
    <xf numFmtId="0" fontId="21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164" fontId="26" fillId="0" borderId="0" xfId="0" applyNumberFormat="1" applyFo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164" fontId="30" fillId="0" borderId="0" xfId="0" applyNumberFormat="1" applyFont="1"/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9" sqref="B9"/>
    </sheetView>
  </sheetViews>
  <sheetFormatPr defaultRowHeight="14.4" x14ac:dyDescent="0.3"/>
  <cols>
    <col min="1" max="1" width="33.44140625" style="230" bestFit="1" customWidth="1"/>
    <col min="2" max="2" width="27" style="230" bestFit="1" customWidth="1"/>
    <col min="3" max="3" width="10.6640625" style="230" bestFit="1" customWidth="1"/>
    <col min="4" max="4" width="11.44140625" style="230" bestFit="1" customWidth="1"/>
    <col min="5" max="16384" width="8.88671875" style="230"/>
  </cols>
  <sheetData>
    <row r="1" spans="1:4" x14ac:dyDescent="0.3">
      <c r="A1" s="232" t="s">
        <v>0</v>
      </c>
      <c r="B1" s="232"/>
      <c r="C1" s="232"/>
      <c r="D1" s="232"/>
    </row>
    <row r="2" spans="1:4" x14ac:dyDescent="0.3">
      <c r="A2" s="230" t="s">
        <v>1</v>
      </c>
      <c r="B2" s="231"/>
    </row>
    <row r="3" spans="1:4" x14ac:dyDescent="0.3">
      <c r="A3" s="230" t="s">
        <v>2</v>
      </c>
      <c r="B3" s="231"/>
    </row>
    <row r="4" spans="1:4" x14ac:dyDescent="0.3">
      <c r="A4" s="230" t="s">
        <v>3</v>
      </c>
      <c r="B4" s="231"/>
    </row>
    <row r="5" spans="1:4" x14ac:dyDescent="0.3">
      <c r="A5" s="230" t="s">
        <v>4</v>
      </c>
      <c r="B5" s="231"/>
    </row>
    <row r="6" spans="1:4" x14ac:dyDescent="0.3">
      <c r="A6" s="230" t="s">
        <v>5</v>
      </c>
      <c r="B6" s="231"/>
    </row>
    <row r="7" spans="1:4" x14ac:dyDescent="0.3">
      <c r="A7" s="230" t="s">
        <v>6</v>
      </c>
      <c r="B7" s="231"/>
    </row>
    <row r="8" spans="1:4" x14ac:dyDescent="0.3">
      <c r="A8" s="230" t="s">
        <v>7</v>
      </c>
      <c r="B8" s="231"/>
    </row>
    <row r="9" spans="1:4" x14ac:dyDescent="0.3">
      <c r="A9" s="231" t="s">
        <v>8</v>
      </c>
      <c r="B9" s="231"/>
    </row>
    <row r="10" spans="1:4" x14ac:dyDescent="0.3">
      <c r="A10" s="231" t="s">
        <v>9</v>
      </c>
      <c r="B10" s="231"/>
    </row>
    <row r="11" spans="1:4" x14ac:dyDescent="0.3">
      <c r="A11" s="231" t="s">
        <v>10</v>
      </c>
      <c r="B11" s="2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O18" sqref="O18"/>
    </sheetView>
  </sheetViews>
  <sheetFormatPr defaultColWidth="8.77734375" defaultRowHeight="14.4" x14ac:dyDescent="0.3"/>
  <cols>
    <col min="1" max="1" width="8.77734375" style="90"/>
    <col min="2" max="2" width="37.88671875" customWidth="1"/>
    <col min="5" max="5" width="12.77734375" bestFit="1" customWidth="1"/>
    <col min="6" max="6" width="10.44140625" bestFit="1" customWidth="1"/>
    <col min="7" max="7" width="13.21875" customWidth="1"/>
  </cols>
  <sheetData>
    <row r="1" spans="1:7" x14ac:dyDescent="0.3">
      <c r="A1" s="1" t="s">
        <v>12</v>
      </c>
      <c r="B1" s="291" t="s">
        <v>13</v>
      </c>
      <c r="C1" s="291"/>
      <c r="D1" s="291"/>
      <c r="E1" s="291"/>
      <c r="F1" s="2"/>
      <c r="G1" s="3"/>
    </row>
    <row r="2" spans="1:7" x14ac:dyDescent="0.3">
      <c r="A2" s="1" t="s">
        <v>14</v>
      </c>
      <c r="B2" s="4"/>
      <c r="C2" s="3"/>
      <c r="D2" s="3"/>
      <c r="E2" s="5"/>
      <c r="F2" s="268"/>
      <c r="G2" s="268"/>
    </row>
    <row r="3" spans="1:7" x14ac:dyDescent="0.3">
      <c r="A3" s="1" t="s">
        <v>15</v>
      </c>
      <c r="B3" s="291" t="s">
        <v>121</v>
      </c>
      <c r="C3" s="291"/>
      <c r="D3" s="291"/>
      <c r="E3" s="291"/>
      <c r="F3" s="293" t="s">
        <v>122</v>
      </c>
      <c r="G3" s="293"/>
    </row>
    <row r="4" spans="1:7" ht="15" thickBot="1" x14ac:dyDescent="0.35">
      <c r="A4" s="3"/>
      <c r="B4" s="4"/>
      <c r="C4" s="3"/>
      <c r="D4" s="3"/>
      <c r="E4" s="6"/>
      <c r="F4" s="6"/>
      <c r="G4" s="3"/>
    </row>
    <row r="5" spans="1:7" ht="15" thickBot="1" x14ac:dyDescent="0.35">
      <c r="A5" s="286" t="s">
        <v>18</v>
      </c>
      <c r="B5" s="286" t="s">
        <v>19</v>
      </c>
      <c r="C5" s="286" t="s">
        <v>20</v>
      </c>
      <c r="D5" s="285" t="s">
        <v>21</v>
      </c>
      <c r="E5" s="292" t="s">
        <v>22</v>
      </c>
      <c r="F5" s="286" t="s">
        <v>23</v>
      </c>
      <c r="G5" s="286"/>
    </row>
    <row r="6" spans="1:7" ht="15" thickBot="1" x14ac:dyDescent="0.35">
      <c r="A6" s="286"/>
      <c r="B6" s="286" t="s">
        <v>24</v>
      </c>
      <c r="C6" s="286" t="s">
        <v>25</v>
      </c>
      <c r="D6" s="285" t="s">
        <v>26</v>
      </c>
      <c r="E6" s="292"/>
      <c r="F6" s="7" t="s">
        <v>27</v>
      </c>
      <c r="G6" s="8" t="s">
        <v>28</v>
      </c>
    </row>
    <row r="7" spans="1:7" ht="15" thickBot="1" x14ac:dyDescent="0.35">
      <c r="A7" s="286"/>
      <c r="B7" s="286"/>
      <c r="C7" s="286"/>
      <c r="D7" s="286"/>
      <c r="E7" s="286"/>
      <c r="F7" s="286"/>
      <c r="G7" s="286"/>
    </row>
    <row r="8" spans="1:7" ht="15" customHeight="1" thickBot="1" x14ac:dyDescent="0.35">
      <c r="A8" s="9">
        <v>1</v>
      </c>
      <c r="B8" s="288" t="s">
        <v>29</v>
      </c>
      <c r="C8" s="288"/>
      <c r="D8" s="288"/>
      <c r="E8" s="288"/>
      <c r="F8" s="288"/>
      <c r="G8" s="129">
        <f>+SUM(F10)</f>
        <v>0</v>
      </c>
    </row>
    <row r="9" spans="1:7" x14ac:dyDescent="0.3">
      <c r="A9" s="188"/>
      <c r="B9" s="189"/>
      <c r="C9" s="189"/>
      <c r="D9" s="189"/>
      <c r="E9" s="186"/>
      <c r="F9" s="186"/>
      <c r="G9" s="187"/>
    </row>
    <row r="10" spans="1:7" ht="55.2" x14ac:dyDescent="0.3">
      <c r="A10" s="208" t="s">
        <v>30</v>
      </c>
      <c r="B10" s="209" t="s">
        <v>123</v>
      </c>
      <c r="C10" s="194" t="s">
        <v>124</v>
      </c>
      <c r="D10" s="195">
        <f>2.1*0.8</f>
        <v>1.6800000000000002</v>
      </c>
      <c r="E10" s="196"/>
      <c r="F10" s="196">
        <f t="shared" ref="F10" si="0">D10*E10</f>
        <v>0</v>
      </c>
      <c r="G10" s="210"/>
    </row>
    <row r="11" spans="1:7" ht="15" thickBot="1" x14ac:dyDescent="0.35">
      <c r="A11" s="211"/>
      <c r="B11" s="212"/>
      <c r="C11" s="212"/>
      <c r="D11" s="212"/>
      <c r="E11" s="213"/>
      <c r="F11" s="213"/>
      <c r="G11" s="214"/>
    </row>
    <row r="12" spans="1:7" ht="15" thickBot="1" x14ac:dyDescent="0.35">
      <c r="A12" s="9">
        <v>2</v>
      </c>
      <c r="B12" s="288" t="s">
        <v>36</v>
      </c>
      <c r="C12" s="288"/>
      <c r="D12" s="288"/>
      <c r="E12" s="288"/>
      <c r="F12" s="288"/>
      <c r="G12" s="129">
        <f>F14</f>
        <v>0</v>
      </c>
    </row>
    <row r="13" spans="1:7" x14ac:dyDescent="0.3">
      <c r="A13" s="188"/>
      <c r="B13" s="189"/>
      <c r="C13" s="189"/>
      <c r="D13" s="189"/>
      <c r="E13" s="186"/>
      <c r="F13" s="186"/>
      <c r="G13" s="187"/>
    </row>
    <row r="14" spans="1:7" ht="69" x14ac:dyDescent="0.3">
      <c r="A14" s="37" t="s">
        <v>37</v>
      </c>
      <c r="B14" s="38" t="s">
        <v>38</v>
      </c>
      <c r="C14" s="36" t="s">
        <v>124</v>
      </c>
      <c r="D14" s="32">
        <f>(2.1*0.85)</f>
        <v>1.7849999999999999</v>
      </c>
      <c r="E14" s="33"/>
      <c r="F14" s="33">
        <f t="shared" ref="F14" si="1">D14*E14</f>
        <v>0</v>
      </c>
      <c r="G14" s="34"/>
    </row>
    <row r="15" spans="1:7" ht="15" thickBot="1" x14ac:dyDescent="0.35">
      <c r="A15" s="39"/>
      <c r="B15" s="40"/>
      <c r="C15" s="25"/>
      <c r="D15" s="26"/>
      <c r="E15" s="27"/>
      <c r="F15" s="27"/>
      <c r="G15" s="41"/>
    </row>
    <row r="16" spans="1:7" ht="15" thickBot="1" x14ac:dyDescent="0.35">
      <c r="A16" s="9">
        <v>3</v>
      </c>
      <c r="B16" s="288" t="s">
        <v>125</v>
      </c>
      <c r="C16" s="288"/>
      <c r="D16" s="288"/>
      <c r="E16" s="288"/>
      <c r="F16" s="288"/>
      <c r="G16" s="129">
        <f>SUM(F18:F20)</f>
        <v>0</v>
      </c>
    </row>
    <row r="17" spans="1:7" x14ac:dyDescent="0.3">
      <c r="A17" s="53"/>
      <c r="B17" s="54"/>
      <c r="C17" s="55"/>
      <c r="D17" s="56"/>
      <c r="E17" s="57"/>
      <c r="F17" s="57"/>
      <c r="G17" s="58"/>
    </row>
    <row r="18" spans="1:7" ht="82.8" x14ac:dyDescent="0.3">
      <c r="A18" s="13" t="s">
        <v>42</v>
      </c>
      <c r="B18" s="59" t="s">
        <v>50</v>
      </c>
      <c r="C18" s="14" t="s">
        <v>124</v>
      </c>
      <c r="D18" s="15">
        <f>(0.75*(3+3+2.4+2.4))+(2.85*(1.64+1.64+2.72+2.72))-(0.9*2.1)+(2.85*(2.83+2.83+4.8+4.8+1.1+1.1))-(1*2.1+0.73*2.1+0.95*1+0.8*2.1+0.9*2.1+0.85*2.1+0.9*2.1)</f>
        <v>68.995000000000019</v>
      </c>
      <c r="E18" s="33"/>
      <c r="F18" s="16">
        <f>+D18*E18</f>
        <v>0</v>
      </c>
      <c r="G18" s="60"/>
    </row>
    <row r="19" spans="1:7" ht="27.6" x14ac:dyDescent="0.3">
      <c r="A19" s="13" t="s">
        <v>101</v>
      </c>
      <c r="B19" s="59" t="s">
        <v>52</v>
      </c>
      <c r="C19" s="14" t="s">
        <v>124</v>
      </c>
      <c r="D19" s="15">
        <f>(0.75*(3+3+2.4+2.4))+(2.85*(1.64+1.64+2.72+2.72))-(0.9*2.1)+(2.85*(2.83+2.83+4.8+4.8+1.1+1.1))-(1*2.1+0.73*2.1+0.95*1+0.8*2.1+0.9*2.1+0.85*2.1+0.9*2.1)+(2.85*(2.8+2.8+2.72+2.72))-(0.73*2.1+0.95*1)</f>
        <v>97.976000000000013</v>
      </c>
      <c r="E19" s="33"/>
      <c r="F19" s="16">
        <f>+D19*E19</f>
        <v>0</v>
      </c>
      <c r="G19" s="60"/>
    </row>
    <row r="20" spans="1:7" ht="27.6" x14ac:dyDescent="0.3">
      <c r="A20" s="13" t="s">
        <v>126</v>
      </c>
      <c r="B20" s="59" t="s">
        <v>54</v>
      </c>
      <c r="C20" s="14" t="s">
        <v>124</v>
      </c>
      <c r="D20" s="15">
        <f>(7.61+2.92+4.46)</f>
        <v>14.990000000000002</v>
      </c>
      <c r="E20" s="33"/>
      <c r="F20" s="61">
        <f>D20*E20</f>
        <v>0</v>
      </c>
      <c r="G20" s="62"/>
    </row>
    <row r="21" spans="1:7" ht="15" customHeight="1" thickBot="1" x14ac:dyDescent="0.35">
      <c r="A21" s="63"/>
      <c r="B21" s="64"/>
      <c r="C21" s="65"/>
      <c r="D21" s="66"/>
      <c r="E21" s="67"/>
      <c r="F21" s="68"/>
      <c r="G21" s="69"/>
    </row>
    <row r="22" spans="1:7" ht="15" thickBot="1" x14ac:dyDescent="0.35">
      <c r="A22" s="9">
        <v>4</v>
      </c>
      <c r="B22" s="288" t="s">
        <v>127</v>
      </c>
      <c r="C22" s="288"/>
      <c r="D22" s="288"/>
      <c r="E22" s="288"/>
      <c r="F22" s="288"/>
      <c r="G22" s="129">
        <f>SUM(F24:F24)</f>
        <v>0</v>
      </c>
    </row>
    <row r="23" spans="1:7" x14ac:dyDescent="0.3">
      <c r="A23" s="215"/>
      <c r="B23" s="43"/>
      <c r="C23" s="22"/>
      <c r="D23" s="23"/>
      <c r="E23" s="24"/>
      <c r="F23" s="24"/>
      <c r="G23" s="44"/>
    </row>
    <row r="24" spans="1:7" ht="55.2" x14ac:dyDescent="0.3">
      <c r="A24" s="37" t="s">
        <v>49</v>
      </c>
      <c r="B24" s="38" t="s">
        <v>128</v>
      </c>
      <c r="C24" s="36" t="s">
        <v>117</v>
      </c>
      <c r="D24" s="32">
        <v>1</v>
      </c>
      <c r="E24" s="33"/>
      <c r="F24" s="33">
        <f>D24*E24</f>
        <v>0</v>
      </c>
      <c r="G24" s="34"/>
    </row>
    <row r="25" spans="1:7" ht="15" thickBot="1" x14ac:dyDescent="0.35">
      <c r="A25" s="216"/>
      <c r="B25" s="46"/>
      <c r="C25" s="47"/>
      <c r="D25" s="48"/>
      <c r="E25" s="27"/>
      <c r="F25" s="27"/>
      <c r="G25" s="41"/>
    </row>
    <row r="26" spans="1:7" ht="15" thickBot="1" x14ac:dyDescent="0.35">
      <c r="A26" s="9">
        <v>5</v>
      </c>
      <c r="B26" s="288" t="s">
        <v>129</v>
      </c>
      <c r="C26" s="288"/>
      <c r="D26" s="288"/>
      <c r="E26" s="288"/>
      <c r="F26" s="288"/>
      <c r="G26" s="129">
        <f>SUM(F28:F28)</f>
        <v>0</v>
      </c>
    </row>
    <row r="27" spans="1:7" x14ac:dyDescent="0.3">
      <c r="A27" s="215"/>
      <c r="B27" s="43"/>
      <c r="C27" s="22"/>
      <c r="D27" s="23"/>
      <c r="E27" s="24"/>
      <c r="F27" s="24"/>
      <c r="G27" s="44"/>
    </row>
    <row r="28" spans="1:7" ht="69" x14ac:dyDescent="0.3">
      <c r="A28" s="37" t="s">
        <v>58</v>
      </c>
      <c r="B28" s="38" t="s">
        <v>130</v>
      </c>
      <c r="C28" s="36" t="s">
        <v>61</v>
      </c>
      <c r="D28" s="32">
        <v>1</v>
      </c>
      <c r="E28" s="33"/>
      <c r="F28" s="33">
        <f>D28*E28</f>
        <v>0</v>
      </c>
      <c r="G28" s="34"/>
    </row>
    <row r="29" spans="1:7" ht="15" thickBot="1" x14ac:dyDescent="0.35">
      <c r="A29" s="216"/>
      <c r="B29" s="46"/>
      <c r="C29" s="47"/>
      <c r="D29" s="48"/>
      <c r="E29" s="27"/>
      <c r="F29" s="27"/>
      <c r="G29" s="41"/>
    </row>
    <row r="30" spans="1:7" ht="15" thickBot="1" x14ac:dyDescent="0.35">
      <c r="A30" s="9">
        <v>6</v>
      </c>
      <c r="B30" s="288" t="s">
        <v>96</v>
      </c>
      <c r="C30" s="288"/>
      <c r="D30" s="288"/>
      <c r="E30" s="288"/>
      <c r="F30" s="288"/>
      <c r="G30" s="129">
        <f>+F32</f>
        <v>0</v>
      </c>
    </row>
    <row r="31" spans="1:7" x14ac:dyDescent="0.3">
      <c r="A31" s="215"/>
      <c r="B31" s="43"/>
      <c r="C31" s="22"/>
      <c r="D31" s="23"/>
      <c r="E31" s="24"/>
      <c r="F31" s="24"/>
      <c r="G31" s="44"/>
    </row>
    <row r="32" spans="1:7" ht="69" x14ac:dyDescent="0.3">
      <c r="A32" s="193" t="s">
        <v>67</v>
      </c>
      <c r="B32" s="96" t="s">
        <v>80</v>
      </c>
      <c r="C32" s="194" t="s">
        <v>61</v>
      </c>
      <c r="D32" s="195">
        <v>1</v>
      </c>
      <c r="E32" s="196"/>
      <c r="F32" s="196">
        <f>+D32*E32</f>
        <v>0</v>
      </c>
      <c r="G32" s="118"/>
    </row>
    <row r="33" spans="1:7" ht="15" thickBot="1" x14ac:dyDescent="0.35">
      <c r="A33" s="216"/>
      <c r="B33" s="46"/>
      <c r="C33" s="47"/>
      <c r="D33" s="48"/>
      <c r="E33" s="27"/>
      <c r="F33" s="27"/>
      <c r="G33" s="41"/>
    </row>
    <row r="34" spans="1:7" ht="15" thickBot="1" x14ac:dyDescent="0.35">
      <c r="A34" s="9">
        <v>7</v>
      </c>
      <c r="B34" s="288" t="s">
        <v>131</v>
      </c>
      <c r="C34" s="288"/>
      <c r="D34" s="288"/>
      <c r="E34" s="288"/>
      <c r="F34" s="288"/>
      <c r="G34" s="129">
        <f>+SUM(F37)</f>
        <v>0</v>
      </c>
    </row>
    <row r="35" spans="1:7" x14ac:dyDescent="0.3">
      <c r="A35" s="215"/>
      <c r="B35" s="43"/>
      <c r="C35" s="22"/>
      <c r="D35" s="23"/>
      <c r="E35" s="24"/>
      <c r="F35" s="24"/>
      <c r="G35" s="44"/>
    </row>
    <row r="36" spans="1:7" ht="69" x14ac:dyDescent="0.3">
      <c r="A36" s="37" t="s">
        <v>70</v>
      </c>
      <c r="B36" s="38" t="s">
        <v>132</v>
      </c>
      <c r="C36" s="36" t="s">
        <v>61</v>
      </c>
      <c r="D36" s="32">
        <v>5</v>
      </c>
      <c r="E36" s="33"/>
      <c r="F36" s="33"/>
      <c r="G36" s="34"/>
    </row>
    <row r="37" spans="1:7" ht="15" thickBot="1" x14ac:dyDescent="0.35">
      <c r="A37" s="217"/>
      <c r="B37" s="49"/>
      <c r="C37" s="49"/>
      <c r="D37" s="49"/>
      <c r="E37" s="27"/>
      <c r="F37" s="27"/>
      <c r="G37" s="41"/>
    </row>
    <row r="38" spans="1:7" ht="15" thickBot="1" x14ac:dyDescent="0.35">
      <c r="A38" s="9">
        <v>8</v>
      </c>
      <c r="B38" s="288" t="s">
        <v>133</v>
      </c>
      <c r="C38" s="288"/>
      <c r="D38" s="288"/>
      <c r="E38" s="288"/>
      <c r="F38" s="288"/>
      <c r="G38" s="129">
        <f>+SUM(F40:F41)</f>
        <v>0</v>
      </c>
    </row>
    <row r="39" spans="1:7" x14ac:dyDescent="0.3">
      <c r="A39" s="215"/>
      <c r="B39" s="43"/>
      <c r="C39" s="22"/>
      <c r="D39" s="23"/>
      <c r="E39" s="24"/>
      <c r="F39" s="24"/>
      <c r="G39" s="44"/>
    </row>
    <row r="40" spans="1:7" ht="55.2" x14ac:dyDescent="0.3">
      <c r="A40" s="37" t="s">
        <v>74</v>
      </c>
      <c r="B40" s="38" t="s">
        <v>134</v>
      </c>
      <c r="C40" s="36" t="s">
        <v>124</v>
      </c>
      <c r="D40" s="32"/>
      <c r="E40" s="33"/>
      <c r="F40" s="33"/>
      <c r="G40" s="34"/>
    </row>
    <row r="41" spans="1:7" ht="55.2" x14ac:dyDescent="0.3">
      <c r="A41" s="37" t="s">
        <v>76</v>
      </c>
      <c r="B41" s="38" t="s">
        <v>135</v>
      </c>
      <c r="C41" s="36" t="s">
        <v>61</v>
      </c>
      <c r="D41" s="32">
        <v>1</v>
      </c>
      <c r="E41" s="33"/>
      <c r="F41" s="33"/>
      <c r="G41" s="34"/>
    </row>
    <row r="42" spans="1:7" ht="15" thickBot="1" x14ac:dyDescent="0.35">
      <c r="A42" s="216"/>
      <c r="B42" s="40"/>
      <c r="C42" s="25"/>
      <c r="D42" s="26"/>
      <c r="E42" s="27"/>
      <c r="F42" s="27"/>
      <c r="G42" s="41"/>
    </row>
    <row r="43" spans="1:7" ht="15" thickBot="1" x14ac:dyDescent="0.35">
      <c r="A43" s="50"/>
      <c r="B43" s="285"/>
      <c r="C43" s="285"/>
      <c r="D43" s="285"/>
      <c r="E43" s="285"/>
      <c r="F43" s="285"/>
      <c r="G43" s="285">
        <f>+SUM(G8:G42)</f>
        <v>0</v>
      </c>
    </row>
    <row r="44" spans="1:7" ht="15" thickBot="1" x14ac:dyDescent="0.35">
      <c r="A44" s="50"/>
      <c r="B44" s="287" t="s">
        <v>81</v>
      </c>
      <c r="C44" s="287"/>
      <c r="D44" s="287"/>
      <c r="E44" s="287"/>
      <c r="F44" s="287"/>
      <c r="G44" s="286"/>
    </row>
  </sheetData>
  <mergeCells count="22">
    <mergeCell ref="B30:F30"/>
    <mergeCell ref="B34:F34"/>
    <mergeCell ref="B38:F38"/>
    <mergeCell ref="B43:F43"/>
    <mergeCell ref="G43:G44"/>
    <mergeCell ref="B44:F44"/>
    <mergeCell ref="B26:F26"/>
    <mergeCell ref="B1:E1"/>
    <mergeCell ref="F2:G2"/>
    <mergeCell ref="B3:E3"/>
    <mergeCell ref="F3:G3"/>
    <mergeCell ref="F5:G5"/>
    <mergeCell ref="A7:G7"/>
    <mergeCell ref="B8:F8"/>
    <mergeCell ref="B12:F12"/>
    <mergeCell ref="B16:F16"/>
    <mergeCell ref="B22:F22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"/>
  <sheetViews>
    <sheetView workbookViewId="0">
      <selection activeCell="E47" sqref="E47"/>
    </sheetView>
  </sheetViews>
  <sheetFormatPr defaultColWidth="8.77734375" defaultRowHeight="14.4" x14ac:dyDescent="0.3"/>
  <cols>
    <col min="1" max="1" width="8.77734375" style="90"/>
    <col min="2" max="2" width="29.21875" customWidth="1"/>
    <col min="5" max="5" width="12.77734375" bestFit="1" customWidth="1"/>
    <col min="6" max="6" width="10.44140625" bestFit="1" customWidth="1"/>
    <col min="7" max="7" width="12.21875" customWidth="1"/>
  </cols>
  <sheetData>
    <row r="1" spans="1:7" x14ac:dyDescent="0.3">
      <c r="A1" s="1" t="s">
        <v>12</v>
      </c>
      <c r="B1" s="291" t="s">
        <v>13</v>
      </c>
      <c r="C1" s="291"/>
      <c r="D1" s="291"/>
      <c r="E1" s="291"/>
      <c r="F1" s="2"/>
      <c r="G1" s="3"/>
    </row>
    <row r="2" spans="1:7" x14ac:dyDescent="0.3">
      <c r="A2" s="1" t="s">
        <v>14</v>
      </c>
      <c r="B2" s="4"/>
      <c r="C2" s="3"/>
      <c r="D2" s="3"/>
      <c r="E2" s="5"/>
      <c r="F2" s="268"/>
      <c r="G2" s="268"/>
    </row>
    <row r="3" spans="1:7" x14ac:dyDescent="0.3">
      <c r="A3" s="1" t="s">
        <v>15</v>
      </c>
      <c r="B3" s="291" t="s">
        <v>136</v>
      </c>
      <c r="C3" s="291"/>
      <c r="D3" s="291"/>
      <c r="E3" s="291"/>
      <c r="F3" s="293" t="s">
        <v>122</v>
      </c>
      <c r="G3" s="293"/>
    </row>
    <row r="4" spans="1:7" ht="15" thickBot="1" x14ac:dyDescent="0.35">
      <c r="A4" s="3"/>
      <c r="B4" s="4"/>
      <c r="C4" s="3"/>
      <c r="D4" s="3"/>
      <c r="E4" s="6"/>
      <c r="F4" s="6"/>
      <c r="G4" s="3"/>
    </row>
    <row r="5" spans="1:7" ht="15" thickBot="1" x14ac:dyDescent="0.35">
      <c r="A5" s="286" t="s">
        <v>18</v>
      </c>
      <c r="B5" s="286" t="s">
        <v>19</v>
      </c>
      <c r="C5" s="286" t="s">
        <v>20</v>
      </c>
      <c r="D5" s="285" t="s">
        <v>21</v>
      </c>
      <c r="E5" s="292" t="s">
        <v>22</v>
      </c>
      <c r="F5" s="286" t="s">
        <v>23</v>
      </c>
      <c r="G5" s="286"/>
    </row>
    <row r="6" spans="1:7" ht="15" thickBot="1" x14ac:dyDescent="0.35">
      <c r="A6" s="286"/>
      <c r="B6" s="286" t="s">
        <v>24</v>
      </c>
      <c r="C6" s="286" t="s">
        <v>25</v>
      </c>
      <c r="D6" s="285" t="s">
        <v>26</v>
      </c>
      <c r="E6" s="292"/>
      <c r="F6" s="7" t="s">
        <v>27</v>
      </c>
      <c r="G6" s="8" t="s">
        <v>28</v>
      </c>
    </row>
    <row r="7" spans="1:7" ht="15" thickBot="1" x14ac:dyDescent="0.35">
      <c r="A7" s="286"/>
      <c r="B7" s="286"/>
      <c r="C7" s="286"/>
      <c r="D7" s="286"/>
      <c r="E7" s="286"/>
      <c r="F7" s="286"/>
      <c r="G7" s="286"/>
    </row>
    <row r="8" spans="1:7" ht="15" customHeight="1" thickBot="1" x14ac:dyDescent="0.35">
      <c r="A8" s="9">
        <v>1</v>
      </c>
      <c r="B8" s="288" t="s">
        <v>137</v>
      </c>
      <c r="C8" s="288"/>
      <c r="D8" s="288"/>
      <c r="E8" s="288"/>
      <c r="F8" s="288"/>
      <c r="G8" s="129">
        <f>SUM(F10:F12)</f>
        <v>0</v>
      </c>
    </row>
    <row r="9" spans="1:7" x14ac:dyDescent="0.3">
      <c r="A9" s="53"/>
      <c r="B9" s="54"/>
      <c r="C9" s="55"/>
      <c r="D9" s="56"/>
      <c r="E9" s="57"/>
      <c r="F9" s="57"/>
      <c r="G9" s="58"/>
    </row>
    <row r="10" spans="1:7" ht="96.6" x14ac:dyDescent="0.3">
      <c r="A10" s="13" t="s">
        <v>30</v>
      </c>
      <c r="B10" s="59" t="s">
        <v>50</v>
      </c>
      <c r="C10" s="14" t="s">
        <v>124</v>
      </c>
      <c r="D10" s="15">
        <f>(3*(8.34))-(1.4*1+0.95*2.1+1.4*1)+(2.85*(2.95+2.4+2.95+2.4))-(0.9*2.1+0.83*2.1+0.95*1)+(2.85*(3.28+3.28+2.4+2.4))-(0.85*2.1)+(2.85*(4.46+4.46+2.55+2.55))-(0.83*2.1+0.95*1+0.85*2.1+0.77*2.1+0.77*2.1+0.2*1+0.8*2.1+0.5*1+0.87*2.1)</f>
        <v>104.76600000000001</v>
      </c>
      <c r="E10" s="33"/>
      <c r="F10" s="16">
        <f>+D10*E10</f>
        <v>0</v>
      </c>
      <c r="G10" s="60"/>
    </row>
    <row r="11" spans="1:7" ht="41.4" x14ac:dyDescent="0.3">
      <c r="A11" s="13" t="s">
        <v>33</v>
      </c>
      <c r="B11" s="59" t="s">
        <v>52</v>
      </c>
      <c r="C11" s="14" t="s">
        <v>124</v>
      </c>
      <c r="D11" s="15">
        <f>(3*(8.34))-(1.4*1+0.95*2.1+1.4*1)+(2.85*(2.95+2.4+2.95+2.4))-(0.9*2.1+0.83*2.1+0.95*1)+(2.85*(3.28+3.28+2.4+2.4))-(0.85*2.1)+(2.85*(4.46+4.46+2.55+2.55))-(0.83*2.1+0.95*1+0.85*2.1+0.77*2.1+0.77*2.1+0.2*1+0.8*2.1+0.5*1+0.87*2.1)</f>
        <v>104.76600000000001</v>
      </c>
      <c r="E11" s="33"/>
      <c r="F11" s="16">
        <f>+D11*E11</f>
        <v>0</v>
      </c>
      <c r="G11" s="60"/>
    </row>
    <row r="12" spans="1:7" ht="41.4" x14ac:dyDescent="0.3">
      <c r="A12" s="13" t="s">
        <v>138</v>
      </c>
      <c r="B12" s="59" t="s">
        <v>54</v>
      </c>
      <c r="C12" s="14" t="s">
        <v>124</v>
      </c>
      <c r="D12" s="15">
        <f>(9.33+5.29+15.29+7.84+4.4+7.69+8.29)</f>
        <v>58.129999999999995</v>
      </c>
      <c r="E12" s="33"/>
      <c r="F12" s="61">
        <f>D12*E12</f>
        <v>0</v>
      </c>
      <c r="G12" s="62"/>
    </row>
    <row r="13" spans="1:7" ht="15" thickBot="1" x14ac:dyDescent="0.35">
      <c r="A13" s="63"/>
      <c r="B13" s="64"/>
      <c r="C13" s="65"/>
      <c r="D13" s="66"/>
      <c r="E13" s="67"/>
      <c r="F13" s="68"/>
      <c r="G13" s="69"/>
    </row>
    <row r="14" spans="1:7" ht="15" thickBot="1" x14ac:dyDescent="0.35">
      <c r="A14" s="9">
        <v>2</v>
      </c>
      <c r="B14" s="288" t="s">
        <v>139</v>
      </c>
      <c r="C14" s="288"/>
      <c r="D14" s="288"/>
      <c r="E14" s="288"/>
      <c r="F14" s="288"/>
      <c r="G14" s="129">
        <f>+SUM(F16:F21)</f>
        <v>0</v>
      </c>
    </row>
    <row r="15" spans="1:7" ht="15" customHeight="1" x14ac:dyDescent="0.3">
      <c r="A15" s="218"/>
      <c r="B15" s="219"/>
      <c r="C15" s="220"/>
      <c r="D15" s="221"/>
      <c r="E15" s="222"/>
      <c r="F15" s="222"/>
      <c r="G15" s="223"/>
    </row>
    <row r="16" spans="1:7" x14ac:dyDescent="0.3">
      <c r="A16" s="97" t="s">
        <v>37</v>
      </c>
      <c r="B16" s="289" t="s">
        <v>140</v>
      </c>
      <c r="C16" s="289"/>
      <c r="D16" s="289"/>
      <c r="E16" s="289"/>
      <c r="F16" s="289"/>
      <c r="G16" s="290"/>
    </row>
    <row r="17" spans="1:7" ht="96.6" x14ac:dyDescent="0.3">
      <c r="A17" s="224" t="s">
        <v>91</v>
      </c>
      <c r="B17" s="59" t="s">
        <v>141</v>
      </c>
      <c r="C17" s="14" t="s">
        <v>124</v>
      </c>
      <c r="D17" s="15">
        <f>2.85*(2.55+2.55+1.72+1.72)-(0.77*2.1)</f>
        <v>22.721999999999998</v>
      </c>
      <c r="E17" s="196"/>
      <c r="F17" s="16">
        <f t="shared" ref="F17:F20" si="0">D17*E17</f>
        <v>0</v>
      </c>
      <c r="G17" s="60"/>
    </row>
    <row r="18" spans="1:7" x14ac:dyDescent="0.3">
      <c r="A18" s="97" t="s">
        <v>39</v>
      </c>
      <c r="B18" s="289" t="s">
        <v>59</v>
      </c>
      <c r="C18" s="289"/>
      <c r="D18" s="289"/>
      <c r="E18" s="289"/>
      <c r="F18" s="289"/>
      <c r="G18" s="290"/>
    </row>
    <row r="19" spans="1:7" ht="96.6" x14ac:dyDescent="0.3">
      <c r="A19" s="225" t="s">
        <v>142</v>
      </c>
      <c r="B19" s="226" t="s">
        <v>60</v>
      </c>
      <c r="C19" s="227" t="s">
        <v>143</v>
      </c>
      <c r="D19" s="228">
        <v>1</v>
      </c>
      <c r="E19" s="61"/>
      <c r="F19" s="61">
        <f t="shared" si="0"/>
        <v>0</v>
      </c>
      <c r="G19" s="62"/>
    </row>
    <row r="20" spans="1:7" ht="96.6" x14ac:dyDescent="0.3">
      <c r="A20" s="151" t="s">
        <v>144</v>
      </c>
      <c r="B20" s="38" t="s">
        <v>145</v>
      </c>
      <c r="C20" s="36" t="s">
        <v>143</v>
      </c>
      <c r="D20" s="32">
        <v>1</v>
      </c>
      <c r="E20" s="33"/>
      <c r="F20" s="33">
        <f t="shared" si="0"/>
        <v>0</v>
      </c>
      <c r="G20" s="34"/>
    </row>
    <row r="21" spans="1:7" ht="15" thickBot="1" x14ac:dyDescent="0.35">
      <c r="A21" s="216"/>
      <c r="B21" s="40"/>
      <c r="C21" s="45"/>
      <c r="D21" s="26"/>
      <c r="E21" s="27"/>
      <c r="F21" s="27"/>
      <c r="G21" s="41"/>
    </row>
    <row r="22" spans="1:7" ht="15" thickBot="1" x14ac:dyDescent="0.35">
      <c r="A22" s="9">
        <v>3</v>
      </c>
      <c r="B22" s="288" t="s">
        <v>146</v>
      </c>
      <c r="C22" s="288"/>
      <c r="D22" s="288"/>
      <c r="E22" s="288"/>
      <c r="F22" s="288"/>
      <c r="G22" s="129">
        <f>SUM(F24:F25)</f>
        <v>0</v>
      </c>
    </row>
    <row r="23" spans="1:7" ht="15" customHeight="1" x14ac:dyDescent="0.3">
      <c r="A23" s="215"/>
      <c r="B23" s="43"/>
      <c r="C23" s="22"/>
      <c r="D23" s="23"/>
      <c r="E23" s="24"/>
      <c r="F23" s="24"/>
      <c r="G23" s="44"/>
    </row>
    <row r="24" spans="1:7" ht="82.8" x14ac:dyDescent="0.3">
      <c r="A24" s="37" t="s">
        <v>42</v>
      </c>
      <c r="B24" s="38" t="s">
        <v>147</v>
      </c>
      <c r="C24" s="36" t="s">
        <v>117</v>
      </c>
      <c r="D24" s="32">
        <v>1</v>
      </c>
      <c r="E24" s="33"/>
      <c r="F24" s="33">
        <f>D24*E24</f>
        <v>0</v>
      </c>
      <c r="G24" s="34"/>
    </row>
    <row r="25" spans="1:7" ht="69" x14ac:dyDescent="0.3">
      <c r="A25" s="37" t="s">
        <v>101</v>
      </c>
      <c r="B25" s="38" t="s">
        <v>128</v>
      </c>
      <c r="C25" s="36" t="s">
        <v>117</v>
      </c>
      <c r="D25" s="32">
        <v>1</v>
      </c>
      <c r="E25" s="33"/>
      <c r="F25" s="33">
        <f>D25*E25</f>
        <v>0</v>
      </c>
      <c r="G25" s="34"/>
    </row>
    <row r="26" spans="1:7" ht="15" thickBot="1" x14ac:dyDescent="0.35">
      <c r="A26" s="216"/>
      <c r="B26" s="46"/>
      <c r="C26" s="47"/>
      <c r="D26" s="48"/>
      <c r="E26" s="27"/>
      <c r="F26" s="27"/>
      <c r="G26" s="41"/>
    </row>
    <row r="27" spans="1:7" ht="15" thickBot="1" x14ac:dyDescent="0.35">
      <c r="A27" s="9">
        <v>4</v>
      </c>
      <c r="B27" s="288" t="s">
        <v>148</v>
      </c>
      <c r="C27" s="288"/>
      <c r="D27" s="288"/>
      <c r="E27" s="288"/>
      <c r="F27" s="288"/>
      <c r="G27" s="129">
        <f>SUM(F29:F30)</f>
        <v>0</v>
      </c>
    </row>
    <row r="28" spans="1:7" x14ac:dyDescent="0.3">
      <c r="A28" s="215"/>
      <c r="B28" s="43"/>
      <c r="C28" s="22"/>
      <c r="D28" s="23"/>
      <c r="E28" s="24"/>
      <c r="F28" s="24"/>
      <c r="G28" s="44"/>
    </row>
    <row r="29" spans="1:7" ht="96.6" x14ac:dyDescent="0.3">
      <c r="A29" s="37" t="s">
        <v>49</v>
      </c>
      <c r="B29" s="38" t="s">
        <v>149</v>
      </c>
      <c r="C29" s="36" t="s">
        <v>61</v>
      </c>
      <c r="D29" s="32">
        <v>1</v>
      </c>
      <c r="E29" s="33"/>
      <c r="F29" s="33">
        <f>D29*E29</f>
        <v>0</v>
      </c>
      <c r="G29" s="34"/>
    </row>
    <row r="30" spans="1:7" ht="96.6" x14ac:dyDescent="0.3">
      <c r="A30" s="37" t="s">
        <v>51</v>
      </c>
      <c r="B30" s="38" t="s">
        <v>130</v>
      </c>
      <c r="C30" s="36" t="s">
        <v>61</v>
      </c>
      <c r="D30" s="32">
        <v>1</v>
      </c>
      <c r="E30" s="33"/>
      <c r="F30" s="33">
        <f>D30*E30</f>
        <v>0</v>
      </c>
      <c r="G30" s="34"/>
    </row>
    <row r="31" spans="1:7" ht="15" thickBot="1" x14ac:dyDescent="0.35">
      <c r="A31" s="216"/>
      <c r="B31" s="46"/>
      <c r="C31" s="47"/>
      <c r="D31" s="48"/>
      <c r="E31" s="27"/>
      <c r="F31" s="27"/>
      <c r="G31" s="41"/>
    </row>
    <row r="32" spans="1:7" ht="15" thickBot="1" x14ac:dyDescent="0.35">
      <c r="A32" s="9">
        <v>5</v>
      </c>
      <c r="B32" s="288" t="s">
        <v>150</v>
      </c>
      <c r="C32" s="288"/>
      <c r="D32" s="288"/>
      <c r="E32" s="288"/>
      <c r="F32" s="288"/>
      <c r="G32" s="129">
        <f>+F34</f>
        <v>0</v>
      </c>
    </row>
    <row r="33" spans="1:7" x14ac:dyDescent="0.3">
      <c r="A33" s="215"/>
      <c r="B33" s="43"/>
      <c r="C33" s="22"/>
      <c r="D33" s="23"/>
      <c r="E33" s="24"/>
      <c r="F33" s="24"/>
      <c r="G33" s="44"/>
    </row>
    <row r="34" spans="1:7" ht="96.6" x14ac:dyDescent="0.3">
      <c r="A34" s="193" t="s">
        <v>58</v>
      </c>
      <c r="B34" s="96" t="s">
        <v>80</v>
      </c>
      <c r="C34" s="194" t="s">
        <v>61</v>
      </c>
      <c r="D34" s="195">
        <v>1</v>
      </c>
      <c r="E34" s="196"/>
      <c r="F34" s="196">
        <f>+D34*E34</f>
        <v>0</v>
      </c>
      <c r="G34" s="118"/>
    </row>
    <row r="35" spans="1:7" ht="15" thickBot="1" x14ac:dyDescent="0.35">
      <c r="A35" s="216"/>
      <c r="B35" s="40"/>
      <c r="C35" s="25"/>
      <c r="D35" s="26"/>
      <c r="E35" s="27"/>
      <c r="F35" s="27"/>
      <c r="G35" s="41"/>
    </row>
    <row r="36" spans="1:7" ht="15" thickBot="1" x14ac:dyDescent="0.35">
      <c r="A36" s="9">
        <v>6</v>
      </c>
      <c r="B36" s="288" t="s">
        <v>151</v>
      </c>
      <c r="C36" s="288"/>
      <c r="D36" s="288"/>
      <c r="E36" s="288"/>
      <c r="F36" s="288"/>
      <c r="G36" s="129">
        <f>+SUM(F39)</f>
        <v>0</v>
      </c>
    </row>
    <row r="37" spans="1:7" x14ac:dyDescent="0.3">
      <c r="A37" s="215"/>
      <c r="B37" s="43"/>
      <c r="C37" s="22"/>
      <c r="D37" s="23"/>
      <c r="E37" s="24"/>
      <c r="F37" s="24"/>
      <c r="G37" s="44"/>
    </row>
    <row r="38" spans="1:7" ht="82.8" x14ac:dyDescent="0.3">
      <c r="A38" s="37" t="s">
        <v>67</v>
      </c>
      <c r="B38" s="38" t="s">
        <v>132</v>
      </c>
      <c r="C38" s="36" t="s">
        <v>61</v>
      </c>
      <c r="D38" s="32">
        <v>1</v>
      </c>
      <c r="E38" s="33"/>
      <c r="F38" s="33"/>
      <c r="G38" s="34"/>
    </row>
    <row r="39" spans="1:7" ht="15" thickBot="1" x14ac:dyDescent="0.35">
      <c r="A39" s="217"/>
      <c r="B39" s="49"/>
      <c r="C39" s="49"/>
      <c r="D39" s="49"/>
      <c r="E39" s="27"/>
      <c r="F39" s="27"/>
      <c r="G39" s="41"/>
    </row>
    <row r="40" spans="1:7" ht="15" thickBot="1" x14ac:dyDescent="0.35">
      <c r="A40" s="9">
        <v>7</v>
      </c>
      <c r="B40" s="288" t="s">
        <v>152</v>
      </c>
      <c r="C40" s="288"/>
      <c r="D40" s="288"/>
      <c r="E40" s="288"/>
      <c r="F40" s="288"/>
      <c r="G40" s="129">
        <f>+SUM(F43)</f>
        <v>0</v>
      </c>
    </row>
    <row r="41" spans="1:7" x14ac:dyDescent="0.3">
      <c r="A41" s="215"/>
      <c r="B41" s="43"/>
      <c r="C41" s="22"/>
      <c r="D41" s="23"/>
      <c r="E41" s="24"/>
      <c r="F41" s="24"/>
      <c r="G41" s="44"/>
    </row>
    <row r="42" spans="1:7" ht="69" x14ac:dyDescent="0.3">
      <c r="A42" s="37" t="s">
        <v>70</v>
      </c>
      <c r="B42" s="38" t="s">
        <v>134</v>
      </c>
      <c r="C42" s="36" t="s">
        <v>124</v>
      </c>
      <c r="D42" s="32"/>
      <c r="E42" s="33"/>
      <c r="F42" s="33"/>
      <c r="G42" s="34"/>
    </row>
    <row r="43" spans="1:7" ht="69" x14ac:dyDescent="0.3">
      <c r="A43" s="37" t="s">
        <v>87</v>
      </c>
      <c r="B43" s="38" t="s">
        <v>135</v>
      </c>
      <c r="C43" s="36" t="s">
        <v>61</v>
      </c>
      <c r="D43" s="32">
        <v>1</v>
      </c>
      <c r="E43" s="33"/>
      <c r="F43" s="33"/>
      <c r="G43" s="34"/>
    </row>
    <row r="44" spans="1:7" ht="15" thickBot="1" x14ac:dyDescent="0.35">
      <c r="A44" s="216"/>
      <c r="B44" s="40"/>
      <c r="C44" s="25"/>
      <c r="D44" s="26"/>
      <c r="E44" s="27"/>
      <c r="F44" s="27"/>
      <c r="G44" s="41"/>
    </row>
    <row r="45" spans="1:7" ht="15" thickBot="1" x14ac:dyDescent="0.35">
      <c r="A45" s="50"/>
      <c r="B45" s="285"/>
      <c r="C45" s="285"/>
      <c r="D45" s="285"/>
      <c r="E45" s="285"/>
      <c r="F45" s="285"/>
      <c r="G45" s="285">
        <f>+SUM(G8:G44)</f>
        <v>0</v>
      </c>
    </row>
    <row r="46" spans="1:7" ht="15" thickBot="1" x14ac:dyDescent="0.35">
      <c r="A46" s="50"/>
      <c r="B46" s="287" t="s">
        <v>81</v>
      </c>
      <c r="C46" s="287"/>
      <c r="D46" s="287"/>
      <c r="E46" s="287"/>
      <c r="F46" s="287"/>
      <c r="G46" s="286"/>
    </row>
  </sheetData>
  <mergeCells count="23">
    <mergeCell ref="B32:F32"/>
    <mergeCell ref="B36:F36"/>
    <mergeCell ref="A5:A6"/>
    <mergeCell ref="B5:B6"/>
    <mergeCell ref="C5:C6"/>
    <mergeCell ref="D5:D6"/>
    <mergeCell ref="E5:E6"/>
    <mergeCell ref="B40:F40"/>
    <mergeCell ref="B45:F45"/>
    <mergeCell ref="G45:G46"/>
    <mergeCell ref="B46:F46"/>
    <mergeCell ref="B1:E1"/>
    <mergeCell ref="F2:G2"/>
    <mergeCell ref="B3:E3"/>
    <mergeCell ref="F3:G3"/>
    <mergeCell ref="F5:G5"/>
    <mergeCell ref="A7:G7"/>
    <mergeCell ref="B8:F8"/>
    <mergeCell ref="B14:F14"/>
    <mergeCell ref="B16:G16"/>
    <mergeCell ref="B18:G18"/>
    <mergeCell ref="B22:F22"/>
    <mergeCell ref="B27:F2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E59" sqref="E59"/>
    </sheetView>
  </sheetViews>
  <sheetFormatPr defaultRowHeight="14.4" x14ac:dyDescent="0.3"/>
  <cols>
    <col min="1" max="1" width="7.5546875" style="70" bestFit="1" customWidth="1"/>
    <col min="2" max="2" width="39.6640625" style="71" customWidth="1"/>
    <col min="3" max="3" width="4.6640625" style="71" customWidth="1"/>
    <col min="4" max="4" width="6.5546875" style="71" customWidth="1"/>
    <col min="5" max="5" width="11.33203125" style="72" customWidth="1"/>
    <col min="6" max="6" width="12.33203125" style="72" customWidth="1"/>
    <col min="7" max="7" width="11.44140625" style="71" customWidth="1"/>
  </cols>
  <sheetData>
    <row r="1" spans="1:7" ht="8.1" customHeight="1" x14ac:dyDescent="0.3"/>
    <row r="2" spans="1:7" x14ac:dyDescent="0.3">
      <c r="A2" s="153" t="s">
        <v>11</v>
      </c>
      <c r="B2" s="153"/>
      <c r="C2" s="153"/>
      <c r="D2" s="153"/>
      <c r="E2" s="154"/>
      <c r="F2" s="155"/>
      <c r="G2" s="153"/>
    </row>
    <row r="3" spans="1:7" x14ac:dyDescent="0.3">
      <c r="A3" s="156" t="s">
        <v>12</v>
      </c>
      <c r="B3" s="153" t="s">
        <v>13</v>
      </c>
      <c r="C3" s="156"/>
      <c r="E3" s="157"/>
      <c r="F3" s="157"/>
      <c r="G3" s="156"/>
    </row>
    <row r="4" spans="1:7" x14ac:dyDescent="0.3">
      <c r="A4" s="156" t="s">
        <v>14</v>
      </c>
      <c r="B4" s="153"/>
      <c r="C4" s="156"/>
      <c r="D4" s="156"/>
      <c r="E4" s="154"/>
      <c r="F4" s="244"/>
      <c r="G4" s="244"/>
    </row>
    <row r="5" spans="1:7" x14ac:dyDescent="0.3">
      <c r="A5" s="156" t="s">
        <v>15</v>
      </c>
      <c r="B5" s="153" t="s">
        <v>16</v>
      </c>
      <c r="C5" s="156"/>
      <c r="D5" s="156"/>
      <c r="E5" s="154"/>
      <c r="F5" s="244" t="s">
        <v>17</v>
      </c>
      <c r="G5" s="244"/>
    </row>
    <row r="6" spans="1:7" ht="15" thickBot="1" x14ac:dyDescent="0.35">
      <c r="A6" s="156"/>
      <c r="B6" s="153"/>
      <c r="C6" s="156"/>
      <c r="D6" s="156"/>
      <c r="E6" s="158"/>
      <c r="F6" s="158"/>
      <c r="G6" s="156"/>
    </row>
    <row r="7" spans="1:7" ht="15" thickBot="1" x14ac:dyDescent="0.35">
      <c r="A7" s="245" t="s">
        <v>18</v>
      </c>
      <c r="B7" s="245" t="s">
        <v>19</v>
      </c>
      <c r="C7" s="245" t="s">
        <v>20</v>
      </c>
      <c r="D7" s="247" t="s">
        <v>21</v>
      </c>
      <c r="E7" s="249" t="s">
        <v>22</v>
      </c>
      <c r="F7" s="251" t="s">
        <v>23</v>
      </c>
      <c r="G7" s="252"/>
    </row>
    <row r="8" spans="1:7" ht="15" thickBot="1" x14ac:dyDescent="0.35">
      <c r="A8" s="246"/>
      <c r="B8" s="246" t="s">
        <v>24</v>
      </c>
      <c r="C8" s="246" t="s">
        <v>25</v>
      </c>
      <c r="D8" s="248" t="s">
        <v>26</v>
      </c>
      <c r="E8" s="250"/>
      <c r="F8" s="73" t="s">
        <v>27</v>
      </c>
      <c r="G8" s="74" t="s">
        <v>28</v>
      </c>
    </row>
    <row r="9" spans="1:7" ht="12" customHeight="1" x14ac:dyDescent="0.3">
      <c r="A9" s="253"/>
      <c r="B9" s="254"/>
      <c r="C9" s="254"/>
      <c r="D9" s="254"/>
      <c r="E9" s="254"/>
      <c r="F9" s="254"/>
      <c r="G9" s="255"/>
    </row>
    <row r="10" spans="1:7" x14ac:dyDescent="0.3">
      <c r="A10" s="159">
        <v>1</v>
      </c>
      <c r="B10" s="233" t="s">
        <v>29</v>
      </c>
      <c r="C10" s="234"/>
      <c r="D10" s="234"/>
      <c r="E10" s="234"/>
      <c r="F10" s="235"/>
      <c r="G10" s="75">
        <f>+SUM(F12:F13)</f>
        <v>0</v>
      </c>
    </row>
    <row r="11" spans="1:7" ht="6.9" customHeight="1" x14ac:dyDescent="0.3">
      <c r="A11" s="160"/>
      <c r="B11" s="161"/>
      <c r="C11" s="161"/>
      <c r="D11" s="161"/>
      <c r="E11" s="162"/>
      <c r="F11" s="162"/>
      <c r="G11" s="163"/>
    </row>
    <row r="12" spans="1:7" ht="39.6" x14ac:dyDescent="0.3">
      <c r="A12" s="76" t="s">
        <v>30</v>
      </c>
      <c r="B12" s="164" t="s">
        <v>31</v>
      </c>
      <c r="C12" s="77" t="s">
        <v>32</v>
      </c>
      <c r="D12" s="78">
        <f>22.66*0.15</f>
        <v>3.399</v>
      </c>
      <c r="E12" s="79"/>
      <c r="F12" s="79">
        <f>+D12*E12</f>
        <v>0</v>
      </c>
      <c r="G12" s="80"/>
    </row>
    <row r="13" spans="1:7" ht="52.8" x14ac:dyDescent="0.3">
      <c r="A13" s="76" t="s">
        <v>33</v>
      </c>
      <c r="B13" s="164" t="s">
        <v>34</v>
      </c>
      <c r="C13" s="77" t="s">
        <v>35</v>
      </c>
      <c r="D13" s="78">
        <v>13</v>
      </c>
      <c r="E13" s="79"/>
      <c r="F13" s="79">
        <f>D13*E13</f>
        <v>0</v>
      </c>
      <c r="G13" s="80"/>
    </row>
    <row r="14" spans="1:7" x14ac:dyDescent="0.3">
      <c r="A14" s="76"/>
      <c r="B14" s="164"/>
      <c r="C14" s="77"/>
      <c r="D14" s="78"/>
      <c r="E14" s="79"/>
      <c r="F14" s="79"/>
      <c r="G14" s="80"/>
    </row>
    <row r="15" spans="1:7" x14ac:dyDescent="0.3">
      <c r="A15" s="159">
        <v>2</v>
      </c>
      <c r="B15" s="233" t="s">
        <v>36</v>
      </c>
      <c r="C15" s="234"/>
      <c r="D15" s="234"/>
      <c r="E15" s="234"/>
      <c r="F15" s="235"/>
      <c r="G15" s="75">
        <f>+SUM(F17:F18)</f>
        <v>0</v>
      </c>
    </row>
    <row r="16" spans="1:7" x14ac:dyDescent="0.3">
      <c r="A16" s="160"/>
      <c r="B16" s="161"/>
      <c r="C16" s="161"/>
      <c r="D16" s="161"/>
      <c r="E16" s="162"/>
      <c r="F16" s="162"/>
      <c r="G16" s="163"/>
    </row>
    <row r="17" spans="1:7" ht="66" x14ac:dyDescent="0.3">
      <c r="A17" s="82" t="s">
        <v>37</v>
      </c>
      <c r="B17" s="83" t="s">
        <v>38</v>
      </c>
      <c r="C17" s="77" t="s">
        <v>35</v>
      </c>
      <c r="D17" s="78">
        <f>2.13*2.7+5</f>
        <v>10.751000000000001</v>
      </c>
      <c r="E17" s="79"/>
      <c r="F17" s="79">
        <f t="shared" ref="F17:F18" si="0">D17*E17</f>
        <v>0</v>
      </c>
      <c r="G17" s="81"/>
    </row>
    <row r="18" spans="1:7" ht="81.599999999999994" x14ac:dyDescent="0.3">
      <c r="A18" s="82" t="s">
        <v>39</v>
      </c>
      <c r="B18" s="83" t="s">
        <v>40</v>
      </c>
      <c r="C18" s="77" t="s">
        <v>35</v>
      </c>
      <c r="D18" s="123">
        <v>4</v>
      </c>
      <c r="E18" s="124"/>
      <c r="F18" s="79">
        <f t="shared" si="0"/>
        <v>0</v>
      </c>
      <c r="G18" s="125"/>
    </row>
    <row r="19" spans="1:7" ht="6.9" customHeight="1" x14ac:dyDescent="0.3">
      <c r="A19" s="122"/>
      <c r="B19" s="84"/>
      <c r="C19" s="126"/>
      <c r="D19" s="123"/>
      <c r="E19" s="124"/>
      <c r="F19" s="173"/>
      <c r="G19" s="125"/>
    </row>
    <row r="20" spans="1:7" x14ac:dyDescent="0.3">
      <c r="A20" s="159">
        <v>3</v>
      </c>
      <c r="B20" s="233" t="s">
        <v>41</v>
      </c>
      <c r="C20" s="234"/>
      <c r="D20" s="234"/>
      <c r="E20" s="234"/>
      <c r="F20" s="235"/>
      <c r="G20" s="75">
        <f>SUM(F22:F24)</f>
        <v>0</v>
      </c>
    </row>
    <row r="21" spans="1:7" x14ac:dyDescent="0.3">
      <c r="A21" s="160"/>
      <c r="B21" s="161"/>
      <c r="C21" s="161"/>
      <c r="D21" s="161"/>
      <c r="E21" s="162"/>
      <c r="F21" s="162"/>
      <c r="G21" s="163"/>
    </row>
    <row r="22" spans="1:7" ht="92.4" x14ac:dyDescent="0.3">
      <c r="A22" s="76" t="s">
        <v>42</v>
      </c>
      <c r="B22" s="175" t="s">
        <v>43</v>
      </c>
      <c r="C22" s="176"/>
      <c r="D22" s="78"/>
      <c r="E22" s="79"/>
      <c r="F22" s="79"/>
      <c r="G22" s="81"/>
    </row>
    <row r="23" spans="1:7" ht="15.6" x14ac:dyDescent="0.3">
      <c r="A23" s="76" t="s">
        <v>44</v>
      </c>
      <c r="B23" s="175" t="s">
        <v>45</v>
      </c>
      <c r="C23" s="77" t="s">
        <v>32</v>
      </c>
      <c r="D23" s="79">
        <f>0.2*0.4*7.03*2+0.2*0.4*3.62+0.2*0.4*3.82*2+0.2*0.4*3.68*2</f>
        <v>2.6144000000000003</v>
      </c>
      <c r="E23" s="79"/>
      <c r="F23" s="79">
        <f t="shared" ref="F23:F24" si="1">D23*E23</f>
        <v>0</v>
      </c>
      <c r="G23" s="81"/>
    </row>
    <row r="24" spans="1:7" ht="15.6" x14ac:dyDescent="0.3">
      <c r="A24" s="76" t="s">
        <v>46</v>
      </c>
      <c r="B24" s="175" t="s">
        <v>47</v>
      </c>
      <c r="C24" s="77" t="s">
        <v>32</v>
      </c>
      <c r="D24" s="78">
        <f>+(12.9+22.66)*0.15</f>
        <v>5.3340000000000005</v>
      </c>
      <c r="E24" s="79"/>
      <c r="F24" s="79">
        <f t="shared" si="1"/>
        <v>0</v>
      </c>
      <c r="G24" s="81"/>
    </row>
    <row r="25" spans="1:7" ht="6.9" customHeight="1" x14ac:dyDescent="0.3">
      <c r="A25" s="165"/>
      <c r="B25" s="177"/>
      <c r="C25" s="177"/>
      <c r="D25" s="177"/>
      <c r="E25" s="178"/>
      <c r="F25" s="178"/>
      <c r="G25" s="179"/>
    </row>
    <row r="26" spans="1:7" x14ac:dyDescent="0.3">
      <c r="A26" s="159">
        <v>4</v>
      </c>
      <c r="B26" s="233" t="s">
        <v>48</v>
      </c>
      <c r="C26" s="234"/>
      <c r="D26" s="234"/>
      <c r="E26" s="234"/>
      <c r="F26" s="235"/>
      <c r="G26" s="75">
        <f>SUM(F28:F31)</f>
        <v>0</v>
      </c>
    </row>
    <row r="27" spans="1:7" x14ac:dyDescent="0.3">
      <c r="A27" s="82"/>
      <c r="B27" s="83"/>
      <c r="C27" s="77"/>
      <c r="D27" s="78"/>
      <c r="E27" s="79"/>
      <c r="F27" s="79"/>
      <c r="G27" s="81"/>
    </row>
    <row r="28" spans="1:7" ht="66" x14ac:dyDescent="0.3">
      <c r="A28" s="82" t="s">
        <v>49</v>
      </c>
      <c r="B28" s="83" t="s">
        <v>50</v>
      </c>
      <c r="C28" s="77" t="s">
        <v>35</v>
      </c>
      <c r="D28" s="78">
        <f>+(13+1+0.9+0.85+3.35)*2.92</f>
        <v>55.772000000000006</v>
      </c>
      <c r="E28" s="79"/>
      <c r="F28" s="79">
        <f>+D28*E28</f>
        <v>0</v>
      </c>
      <c r="G28" s="81"/>
    </row>
    <row r="29" spans="1:7" ht="26.4" x14ac:dyDescent="0.3">
      <c r="A29" s="82" t="s">
        <v>51</v>
      </c>
      <c r="B29" s="84" t="s">
        <v>52</v>
      </c>
      <c r="C29" s="77" t="s">
        <v>35</v>
      </c>
      <c r="D29" s="78">
        <f>+(4.7+2.87+3.15+3.42+2.95+1.1+1.53+3.35)*2.92+D28</f>
        <v>123.13640000000001</v>
      </c>
      <c r="E29" s="79"/>
      <c r="F29" s="79">
        <f>+D29*E29</f>
        <v>0</v>
      </c>
      <c r="G29" s="81"/>
    </row>
    <row r="30" spans="1:7" ht="26.4" x14ac:dyDescent="0.3">
      <c r="A30" s="82" t="s">
        <v>53</v>
      </c>
      <c r="B30" s="84" t="s">
        <v>54</v>
      </c>
      <c r="C30" s="77" t="s">
        <v>35</v>
      </c>
      <c r="D30" s="78">
        <f>12.9+22.66+11.1</f>
        <v>46.660000000000004</v>
      </c>
      <c r="E30" s="79"/>
      <c r="F30" s="79">
        <f>+D30*E30</f>
        <v>0</v>
      </c>
      <c r="G30" s="81"/>
    </row>
    <row r="31" spans="1:7" ht="52.8" x14ac:dyDescent="0.3">
      <c r="A31" s="82" t="s">
        <v>55</v>
      </c>
      <c r="B31" s="83" t="s">
        <v>56</v>
      </c>
      <c r="C31" s="77" t="s">
        <v>35</v>
      </c>
      <c r="D31" s="78">
        <v>12.9</v>
      </c>
      <c r="E31" s="79"/>
      <c r="F31" s="79">
        <f>+D31*E31</f>
        <v>0</v>
      </c>
      <c r="G31" s="81"/>
    </row>
    <row r="32" spans="1:7" x14ac:dyDescent="0.3">
      <c r="A32" s="82"/>
      <c r="B32" s="83"/>
      <c r="C32" s="77"/>
      <c r="D32" s="78"/>
      <c r="E32" s="79"/>
      <c r="F32" s="79"/>
      <c r="G32" s="81"/>
    </row>
    <row r="33" spans="1:7" x14ac:dyDescent="0.3">
      <c r="A33" s="159">
        <v>5</v>
      </c>
      <c r="B33" s="233" t="s">
        <v>57</v>
      </c>
      <c r="C33" s="234"/>
      <c r="D33" s="234"/>
      <c r="E33" s="234"/>
      <c r="F33" s="235"/>
      <c r="G33" s="75">
        <f>+SUM(F36:F38)</f>
        <v>0</v>
      </c>
    </row>
    <row r="34" spans="1:7" ht="6.9" customHeight="1" x14ac:dyDescent="0.3">
      <c r="A34" s="82"/>
      <c r="B34" s="83"/>
      <c r="C34" s="180"/>
      <c r="D34" s="78"/>
      <c r="E34" s="79"/>
      <c r="F34" s="79"/>
      <c r="G34" s="81"/>
    </row>
    <row r="35" spans="1:7" x14ac:dyDescent="0.3">
      <c r="A35" s="82" t="s">
        <v>58</v>
      </c>
      <c r="B35" s="85" t="s">
        <v>59</v>
      </c>
      <c r="C35" s="180"/>
      <c r="D35" s="78"/>
      <c r="E35" s="79"/>
      <c r="F35" s="79"/>
      <c r="G35" s="81"/>
    </row>
    <row r="36" spans="1:7" ht="66" x14ac:dyDescent="0.3">
      <c r="A36" s="82" t="s">
        <v>58</v>
      </c>
      <c r="B36" s="83" t="s">
        <v>60</v>
      </c>
      <c r="C36" s="77" t="s">
        <v>61</v>
      </c>
      <c r="D36" s="78">
        <v>1</v>
      </c>
      <c r="E36" s="79"/>
      <c r="F36" s="79"/>
      <c r="G36" s="81"/>
    </row>
    <row r="37" spans="1:7" ht="66" x14ac:dyDescent="0.3">
      <c r="A37" s="82" t="s">
        <v>62</v>
      </c>
      <c r="B37" s="83" t="s">
        <v>63</v>
      </c>
      <c r="C37" s="77" t="s">
        <v>61</v>
      </c>
      <c r="D37" s="78">
        <v>1</v>
      </c>
      <c r="E37" s="79"/>
      <c r="F37" s="79"/>
      <c r="G37" s="81"/>
    </row>
    <row r="38" spans="1:7" ht="66" x14ac:dyDescent="0.3">
      <c r="A38" s="82" t="s">
        <v>64</v>
      </c>
      <c r="B38" s="83" t="s">
        <v>65</v>
      </c>
      <c r="C38" s="77" t="s">
        <v>61</v>
      </c>
      <c r="D38" s="78">
        <v>1</v>
      </c>
      <c r="E38" s="79"/>
      <c r="F38" s="79"/>
      <c r="G38" s="81"/>
    </row>
    <row r="39" spans="1:7" ht="6.9" customHeight="1" x14ac:dyDescent="0.3">
      <c r="A39" s="122"/>
      <c r="B39" s="84"/>
      <c r="C39" s="126"/>
      <c r="D39" s="123"/>
      <c r="E39" s="124"/>
      <c r="F39" s="173"/>
      <c r="G39" s="125"/>
    </row>
    <row r="40" spans="1:7" x14ac:dyDescent="0.3">
      <c r="A40" s="159">
        <v>6</v>
      </c>
      <c r="B40" s="233" t="s">
        <v>66</v>
      </c>
      <c r="C40" s="234"/>
      <c r="D40" s="234"/>
      <c r="E40" s="234"/>
      <c r="F40" s="235"/>
      <c r="G40" s="75">
        <f>+SUM(F42)</f>
        <v>0</v>
      </c>
    </row>
    <row r="41" spans="1:7" ht="6.9" customHeight="1" x14ac:dyDescent="0.3">
      <c r="A41" s="82"/>
      <c r="B41" s="83"/>
      <c r="C41" s="180"/>
      <c r="D41" s="78"/>
      <c r="E41" s="79"/>
      <c r="F41" s="79"/>
      <c r="G41" s="81"/>
    </row>
    <row r="42" spans="1:7" ht="52.8" x14ac:dyDescent="0.3">
      <c r="A42" s="82" t="s">
        <v>67</v>
      </c>
      <c r="B42" s="83" t="s">
        <v>68</v>
      </c>
      <c r="C42" s="77" t="s">
        <v>61</v>
      </c>
      <c r="D42" s="78">
        <v>1</v>
      </c>
      <c r="E42" s="79"/>
      <c r="F42" s="79">
        <f t="shared" ref="F42" si="2">D42*E42</f>
        <v>0</v>
      </c>
      <c r="G42" s="81"/>
    </row>
    <row r="43" spans="1:7" x14ac:dyDescent="0.3">
      <c r="A43" s="82"/>
      <c r="B43" s="83"/>
      <c r="C43" s="77"/>
      <c r="D43" s="78"/>
      <c r="E43" s="79"/>
      <c r="F43" s="79"/>
      <c r="G43" s="81"/>
    </row>
    <row r="44" spans="1:7" x14ac:dyDescent="0.3">
      <c r="A44" s="159">
        <v>7</v>
      </c>
      <c r="B44" s="233" t="s">
        <v>69</v>
      </c>
      <c r="C44" s="234"/>
      <c r="D44" s="234"/>
      <c r="E44" s="234"/>
      <c r="F44" s="235"/>
      <c r="G44" s="75">
        <f>SUM(F46:F46)</f>
        <v>0</v>
      </c>
    </row>
    <row r="45" spans="1:7" x14ac:dyDescent="0.3">
      <c r="A45" s="122"/>
      <c r="B45" s="84"/>
      <c r="C45" s="181"/>
      <c r="D45" s="123"/>
      <c r="E45" s="124"/>
      <c r="F45" s="173"/>
      <c r="G45" s="125"/>
    </row>
    <row r="46" spans="1:7" ht="52.8" x14ac:dyDescent="0.3">
      <c r="A46" s="122" t="s">
        <v>70</v>
      </c>
      <c r="B46" s="84" t="s">
        <v>71</v>
      </c>
      <c r="C46" s="83" t="s">
        <v>72</v>
      </c>
      <c r="D46" s="78">
        <v>1</v>
      </c>
      <c r="E46" s="124"/>
      <c r="F46" s="173">
        <f t="shared" ref="F46" si="3">+D46*E46</f>
        <v>0</v>
      </c>
      <c r="G46" s="125"/>
    </row>
    <row r="47" spans="1:7" x14ac:dyDescent="0.3">
      <c r="A47" s="82"/>
      <c r="B47" s="83"/>
      <c r="C47" s="77"/>
      <c r="D47" s="78"/>
      <c r="E47" s="79"/>
      <c r="F47" s="79"/>
      <c r="G47" s="81"/>
    </row>
    <row r="48" spans="1:7" x14ac:dyDescent="0.3">
      <c r="A48" s="159">
        <v>8</v>
      </c>
      <c r="B48" s="233" t="s">
        <v>73</v>
      </c>
      <c r="C48" s="234"/>
      <c r="D48" s="234"/>
      <c r="E48" s="234"/>
      <c r="F48" s="235"/>
      <c r="G48" s="75">
        <f>SUM(F50:F51)</f>
        <v>0</v>
      </c>
    </row>
    <row r="49" spans="1:7" x14ac:dyDescent="0.3">
      <c r="A49" s="122"/>
      <c r="B49" s="84"/>
      <c r="C49" s="181"/>
      <c r="D49" s="123"/>
      <c r="E49" s="124"/>
      <c r="F49" s="173"/>
      <c r="G49" s="125"/>
    </row>
    <row r="50" spans="1:7" ht="66" x14ac:dyDescent="0.3">
      <c r="A50" s="122" t="s">
        <v>74</v>
      </c>
      <c r="B50" s="84" t="s">
        <v>75</v>
      </c>
      <c r="C50" s="181" t="s">
        <v>61</v>
      </c>
      <c r="D50" s="123">
        <v>1</v>
      </c>
      <c r="E50" s="124"/>
      <c r="F50" s="173">
        <f>+D50*E50</f>
        <v>0</v>
      </c>
      <c r="G50" s="125"/>
    </row>
    <row r="51" spans="1:7" ht="52.8" x14ac:dyDescent="0.3">
      <c r="A51" s="122" t="s">
        <v>76</v>
      </c>
      <c r="B51" s="83" t="s">
        <v>77</v>
      </c>
      <c r="C51" s="77" t="s">
        <v>61</v>
      </c>
      <c r="D51" s="78">
        <v>1</v>
      </c>
      <c r="E51" s="79"/>
      <c r="F51" s="173">
        <f>+D51*E51</f>
        <v>0</v>
      </c>
      <c r="G51" s="81"/>
    </row>
    <row r="52" spans="1:7" x14ac:dyDescent="0.3">
      <c r="A52" s="122"/>
      <c r="B52" s="84"/>
      <c r="C52" s="126"/>
      <c r="D52" s="123"/>
      <c r="E52" s="124"/>
      <c r="F52" s="173"/>
      <c r="G52" s="125"/>
    </row>
    <row r="53" spans="1:7" x14ac:dyDescent="0.3">
      <c r="A53" s="159">
        <v>9</v>
      </c>
      <c r="B53" s="233" t="s">
        <v>78</v>
      </c>
      <c r="C53" s="234"/>
      <c r="D53" s="234"/>
      <c r="E53" s="234"/>
      <c r="F53" s="235"/>
      <c r="G53" s="75">
        <f>+F55</f>
        <v>0</v>
      </c>
    </row>
    <row r="54" spans="1:7" x14ac:dyDescent="0.3">
      <c r="A54" s="82"/>
      <c r="B54" s="83"/>
      <c r="C54" s="77"/>
      <c r="D54" s="78"/>
      <c r="E54" s="79"/>
      <c r="F54" s="79"/>
      <c r="G54" s="81"/>
    </row>
    <row r="55" spans="1:7" ht="67.2" x14ac:dyDescent="0.3">
      <c r="A55" s="82" t="s">
        <v>79</v>
      </c>
      <c r="B55" s="83" t="s">
        <v>80</v>
      </c>
      <c r="C55" s="77" t="s">
        <v>61</v>
      </c>
      <c r="D55" s="78">
        <v>1</v>
      </c>
      <c r="E55" s="79"/>
      <c r="F55" s="79">
        <f>+D55*E55</f>
        <v>0</v>
      </c>
      <c r="G55" s="81"/>
    </row>
    <row r="56" spans="1:7" ht="15" thickBot="1" x14ac:dyDescent="0.35">
      <c r="A56" s="82"/>
      <c r="B56" s="86"/>
      <c r="C56" s="77"/>
      <c r="D56" s="87"/>
      <c r="E56" s="79"/>
      <c r="F56" s="79"/>
      <c r="G56" s="81"/>
    </row>
    <row r="57" spans="1:7" x14ac:dyDescent="0.3">
      <c r="A57" s="88"/>
      <c r="B57" s="236"/>
      <c r="C57" s="237"/>
      <c r="D57" s="237"/>
      <c r="E57" s="237"/>
      <c r="F57" s="238"/>
      <c r="G57" s="239">
        <f>+SUM(G10:G56)</f>
        <v>0</v>
      </c>
    </row>
    <row r="58" spans="1:7" ht="15" thickBot="1" x14ac:dyDescent="0.35">
      <c r="A58" s="89"/>
      <c r="B58" s="241" t="s">
        <v>81</v>
      </c>
      <c r="C58" s="242"/>
      <c r="D58" s="242"/>
      <c r="E58" s="242"/>
      <c r="F58" s="243"/>
      <c r="G58" s="240"/>
    </row>
  </sheetData>
  <mergeCells count="21">
    <mergeCell ref="B53:F53"/>
    <mergeCell ref="B57:F57"/>
    <mergeCell ref="G57:G58"/>
    <mergeCell ref="B58:F58"/>
    <mergeCell ref="B26:F26"/>
    <mergeCell ref="B33:F33"/>
    <mergeCell ref="B40:F40"/>
    <mergeCell ref="B44:F44"/>
    <mergeCell ref="B48:F48"/>
    <mergeCell ref="F4:G4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20:F20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tabSelected="1" topLeftCell="A4" zoomScaleNormal="100" zoomScaleSheetLayoutView="90" workbookViewId="0">
      <selection activeCell="J17" sqref="J17"/>
    </sheetView>
  </sheetViews>
  <sheetFormatPr defaultColWidth="8.6640625" defaultRowHeight="14.4" x14ac:dyDescent="0.3"/>
  <cols>
    <col min="1" max="1" width="6.6640625" style="334" customWidth="1"/>
    <col min="2" max="2" width="39.6640625" style="335" customWidth="1"/>
    <col min="3" max="3" width="4.6640625" style="335" customWidth="1"/>
    <col min="4" max="4" width="6.5546875" style="335" customWidth="1"/>
    <col min="5" max="5" width="10.109375" style="336" customWidth="1"/>
    <col min="6" max="6" width="13.44140625" style="336" customWidth="1"/>
  </cols>
  <sheetData>
    <row r="3" spans="1:6" ht="15.6" x14ac:dyDescent="0.3">
      <c r="A3" s="294" t="s">
        <v>204</v>
      </c>
      <c r="B3" s="294"/>
      <c r="C3" s="294"/>
      <c r="D3" s="294"/>
      <c r="E3" s="294"/>
      <c r="F3" s="294"/>
    </row>
    <row r="5" spans="1:6" ht="21" customHeight="1" x14ac:dyDescent="0.3">
      <c r="A5" s="294" t="s">
        <v>207</v>
      </c>
      <c r="B5" s="294"/>
      <c r="C5" s="294"/>
      <c r="D5" s="294"/>
      <c r="E5" s="294"/>
      <c r="F5" s="294"/>
    </row>
    <row r="6" spans="1:6" ht="15" thickBot="1" x14ac:dyDescent="0.35">
      <c r="A6" s="295"/>
      <c r="B6" s="296"/>
      <c r="C6" s="295"/>
      <c r="D6" s="295"/>
      <c r="E6" s="297"/>
      <c r="F6" s="297"/>
    </row>
    <row r="7" spans="1:6" ht="15" thickTop="1" x14ac:dyDescent="0.3">
      <c r="A7" s="298" t="s">
        <v>18</v>
      </c>
      <c r="B7" s="299" t="s">
        <v>205</v>
      </c>
      <c r="C7" s="299"/>
      <c r="D7" s="299"/>
      <c r="E7" s="299"/>
      <c r="F7" s="300" t="s">
        <v>206</v>
      </c>
    </row>
    <row r="8" spans="1:6" x14ac:dyDescent="0.3">
      <c r="A8" s="301"/>
      <c r="B8" s="302"/>
      <c r="C8" s="302"/>
      <c r="D8" s="302"/>
      <c r="E8" s="302"/>
      <c r="F8" s="303"/>
    </row>
    <row r="9" spans="1:6" ht="12" customHeight="1" x14ac:dyDescent="0.3">
      <c r="A9" s="304"/>
      <c r="B9" s="305"/>
      <c r="C9" s="305"/>
      <c r="D9" s="305"/>
      <c r="E9" s="305"/>
      <c r="F9" s="306"/>
    </row>
    <row r="10" spans="1:6" ht="15" customHeight="1" x14ac:dyDescent="0.3">
      <c r="A10" s="307">
        <v>1</v>
      </c>
      <c r="B10" s="308" t="str">
        <f>'Lista das Casas'!A2</f>
        <v>Herminía Mendes Gonçalves</v>
      </c>
      <c r="C10" s="308"/>
      <c r="D10" s="308"/>
      <c r="E10" s="308"/>
      <c r="F10" s="309"/>
    </row>
    <row r="11" spans="1:6" ht="15.6" x14ac:dyDescent="0.3">
      <c r="A11" s="310"/>
      <c r="B11" s="311"/>
      <c r="C11" s="311"/>
      <c r="D11" s="311"/>
      <c r="E11" s="311"/>
      <c r="F11" s="312"/>
    </row>
    <row r="12" spans="1:6" ht="15.6" x14ac:dyDescent="0.3">
      <c r="A12" s="307">
        <v>2</v>
      </c>
      <c r="B12" s="308" t="str">
        <f>'Lista das Casas'!A3</f>
        <v>Maria De Fatima Morreira</v>
      </c>
      <c r="C12" s="308"/>
      <c r="D12" s="308"/>
      <c r="E12" s="308"/>
      <c r="F12" s="309"/>
    </row>
    <row r="13" spans="1:6" ht="15.6" x14ac:dyDescent="0.3">
      <c r="A13" s="310"/>
      <c r="B13" s="311"/>
      <c r="C13" s="311"/>
      <c r="D13" s="311"/>
      <c r="E13" s="311"/>
      <c r="F13" s="312"/>
    </row>
    <row r="14" spans="1:6" ht="15.6" x14ac:dyDescent="0.3">
      <c r="A14" s="307">
        <v>3</v>
      </c>
      <c r="B14" s="308" t="str">
        <f>'Lista das Casas'!A4</f>
        <v>Maria Do Carmo Vaz Rodrigues</v>
      </c>
      <c r="C14" s="308"/>
      <c r="D14" s="308"/>
      <c r="E14" s="308"/>
      <c r="F14" s="309"/>
    </row>
    <row r="15" spans="1:6" ht="15.6" x14ac:dyDescent="0.3">
      <c r="A15" s="310"/>
      <c r="B15" s="311"/>
      <c r="C15" s="311"/>
      <c r="D15" s="311"/>
      <c r="E15" s="311"/>
      <c r="F15" s="312"/>
    </row>
    <row r="16" spans="1:6" ht="15.6" x14ac:dyDescent="0.3">
      <c r="A16" s="307">
        <v>4</v>
      </c>
      <c r="B16" s="308" t="str">
        <f>'Lista das Casas'!A5</f>
        <v>Maria Olinda Tavares Ribeiro Silva</v>
      </c>
      <c r="C16" s="308"/>
      <c r="D16" s="308"/>
      <c r="E16" s="308"/>
      <c r="F16" s="309"/>
    </row>
    <row r="17" spans="1:6" ht="15.6" x14ac:dyDescent="0.3">
      <c r="A17" s="310"/>
      <c r="B17" s="311"/>
      <c r="C17" s="311"/>
      <c r="D17" s="311"/>
      <c r="E17" s="311"/>
      <c r="F17" s="312"/>
    </row>
    <row r="18" spans="1:6" ht="15.6" x14ac:dyDescent="0.3">
      <c r="A18" s="307">
        <v>5</v>
      </c>
      <c r="B18" s="308" t="str">
        <f>'Lista das Casas'!A6</f>
        <v>Maria De Jesus Dos Santos Monteiro</v>
      </c>
      <c r="C18" s="308"/>
      <c r="D18" s="308"/>
      <c r="E18" s="308"/>
      <c r="F18" s="309"/>
    </row>
    <row r="19" spans="1:6" ht="15.6" x14ac:dyDescent="0.3">
      <c r="A19" s="310"/>
      <c r="B19" s="311"/>
      <c r="C19" s="311"/>
      <c r="D19" s="311"/>
      <c r="E19" s="311"/>
      <c r="F19" s="312"/>
    </row>
    <row r="20" spans="1:6" ht="15.6" x14ac:dyDescent="0.3">
      <c r="A20" s="307">
        <v>6</v>
      </c>
      <c r="B20" s="308" t="str">
        <f>'Lista das Casas'!A7</f>
        <v>Domingos Pereira Semedo</v>
      </c>
      <c r="C20" s="308"/>
      <c r="D20" s="308"/>
      <c r="E20" s="308"/>
      <c r="F20" s="309"/>
    </row>
    <row r="21" spans="1:6" ht="15.6" x14ac:dyDescent="0.3">
      <c r="A21" s="310"/>
      <c r="B21" s="311"/>
      <c r="C21" s="311"/>
      <c r="D21" s="311"/>
      <c r="E21" s="311"/>
      <c r="F21" s="312"/>
    </row>
    <row r="22" spans="1:6" ht="15.6" x14ac:dyDescent="0.3">
      <c r="A22" s="307">
        <v>7</v>
      </c>
      <c r="B22" s="308" t="str">
        <f>'Lista das Casas'!A8</f>
        <v>Ariana Patricia Vieira Fernandes</v>
      </c>
      <c r="C22" s="308"/>
      <c r="D22" s="308"/>
      <c r="E22" s="308"/>
      <c r="F22" s="309"/>
    </row>
    <row r="23" spans="1:6" ht="15.6" x14ac:dyDescent="0.3">
      <c r="A23" s="310"/>
      <c r="B23" s="311"/>
      <c r="C23" s="311"/>
      <c r="D23" s="311"/>
      <c r="E23" s="311"/>
      <c r="F23" s="312"/>
    </row>
    <row r="24" spans="1:6" ht="15.6" x14ac:dyDescent="0.3">
      <c r="A24" s="307">
        <v>8</v>
      </c>
      <c r="B24" s="308" t="str">
        <f>'Lista das Casas'!A9</f>
        <v>Maria Lopes Oliveira</v>
      </c>
      <c r="C24" s="308"/>
      <c r="D24" s="308"/>
      <c r="E24" s="308"/>
      <c r="F24" s="309"/>
    </row>
    <row r="25" spans="1:6" ht="15.6" x14ac:dyDescent="0.3">
      <c r="A25" s="310"/>
      <c r="B25" s="311"/>
      <c r="C25" s="311"/>
      <c r="D25" s="311"/>
      <c r="E25" s="311"/>
      <c r="F25" s="312"/>
    </row>
    <row r="26" spans="1:6" ht="15.6" x14ac:dyDescent="0.3">
      <c r="A26" s="307">
        <v>9</v>
      </c>
      <c r="B26" s="308" t="str">
        <f>'Lista das Casas'!A10</f>
        <v>Manuel Tavares Da Silva</v>
      </c>
      <c r="C26" s="308"/>
      <c r="D26" s="308"/>
      <c r="E26" s="308"/>
      <c r="F26" s="309"/>
    </row>
    <row r="27" spans="1:6" ht="15.6" x14ac:dyDescent="0.3">
      <c r="A27" s="310"/>
      <c r="B27" s="311"/>
      <c r="C27" s="311"/>
      <c r="D27" s="311"/>
      <c r="E27" s="311"/>
      <c r="F27" s="312"/>
    </row>
    <row r="28" spans="1:6" ht="15.6" x14ac:dyDescent="0.3">
      <c r="A28" s="307">
        <v>10</v>
      </c>
      <c r="B28" s="308" t="str">
        <f>'Lista das Casas'!A11</f>
        <v>Guilhermina Fernandes</v>
      </c>
      <c r="C28" s="308"/>
      <c r="D28" s="308"/>
      <c r="E28" s="308"/>
      <c r="F28" s="309"/>
    </row>
    <row r="29" spans="1:6" ht="16.2" thickBot="1" x14ac:dyDescent="0.35">
      <c r="A29" s="310"/>
      <c r="B29" s="311"/>
      <c r="C29" s="311"/>
      <c r="D29" s="311"/>
      <c r="E29" s="311"/>
      <c r="F29" s="312"/>
    </row>
    <row r="30" spans="1:6" ht="15" thickBot="1" x14ac:dyDescent="0.35">
      <c r="A30" s="313" t="s">
        <v>81</v>
      </c>
      <c r="B30" s="314"/>
      <c r="C30" s="314"/>
      <c r="D30" s="314"/>
      <c r="E30" s="314"/>
      <c r="F30" s="315">
        <f>+F10+F12+F14+F16+F18+F20+F22+F24+F26</f>
        <v>0</v>
      </c>
    </row>
    <row r="31" spans="1:6" ht="15" thickBot="1" x14ac:dyDescent="0.35">
      <c r="A31" s="316"/>
      <c r="B31" s="317"/>
      <c r="C31" s="317"/>
      <c r="D31" s="317"/>
      <c r="E31" s="317"/>
      <c r="F31" s="318"/>
    </row>
    <row r="32" spans="1:6" ht="16.2" thickTop="1" x14ac:dyDescent="0.3">
      <c r="A32" s="319"/>
      <c r="B32" s="320"/>
      <c r="C32" s="320"/>
      <c r="D32" s="320"/>
      <c r="E32" s="321"/>
      <c r="F32" s="321"/>
    </row>
    <row r="33" spans="1:7" ht="15.6" x14ac:dyDescent="0.3">
      <c r="A33" s="322"/>
      <c r="B33" s="322"/>
      <c r="C33" s="320"/>
      <c r="D33" s="320"/>
      <c r="E33" s="323"/>
      <c r="F33" s="323"/>
    </row>
    <row r="34" spans="1:7" ht="15.6" x14ac:dyDescent="0.3">
      <c r="A34" s="324"/>
      <c r="B34" s="324"/>
      <c r="C34" s="320"/>
      <c r="D34" s="320"/>
      <c r="E34" s="325"/>
      <c r="F34" s="325"/>
    </row>
    <row r="35" spans="1:7" ht="15.6" x14ac:dyDescent="0.3">
      <c r="A35" s="326"/>
      <c r="B35" s="326"/>
      <c r="C35" s="320"/>
      <c r="D35" s="320"/>
      <c r="E35" s="325"/>
      <c r="F35" s="325"/>
    </row>
    <row r="36" spans="1:7" ht="15.6" x14ac:dyDescent="0.3">
      <c r="A36" s="327"/>
      <c r="B36" s="328"/>
      <c r="C36" s="328"/>
      <c r="D36" s="328"/>
      <c r="E36" s="329"/>
      <c r="F36" s="329"/>
    </row>
    <row r="37" spans="1:7" x14ac:dyDescent="0.3">
      <c r="A37" s="330"/>
      <c r="B37" s="330"/>
      <c r="C37" s="330"/>
      <c r="D37" s="330"/>
      <c r="E37" s="330"/>
      <c r="F37" s="330"/>
      <c r="G37" s="331"/>
    </row>
    <row r="38" spans="1:7" x14ac:dyDescent="0.3">
      <c r="A38" s="332"/>
      <c r="B38" s="332"/>
      <c r="C38" s="332"/>
      <c r="D38" s="332"/>
      <c r="E38" s="332"/>
      <c r="F38" s="332"/>
      <c r="G38" s="333"/>
    </row>
    <row r="39" spans="1:7" x14ac:dyDescent="0.3">
      <c r="A39" s="333"/>
      <c r="B39" s="333"/>
      <c r="C39" s="333"/>
      <c r="D39" s="333"/>
      <c r="E39" s="333"/>
      <c r="F39" s="333"/>
      <c r="G39" s="333"/>
    </row>
  </sheetData>
  <mergeCells count="33">
    <mergeCell ref="A37:F37"/>
    <mergeCell ref="A38:F38"/>
    <mergeCell ref="B28:E28"/>
    <mergeCell ref="A29:F29"/>
    <mergeCell ref="A30:E31"/>
    <mergeCell ref="F30:F31"/>
    <mergeCell ref="A33:B33"/>
    <mergeCell ref="E33:F33"/>
    <mergeCell ref="A35:B35"/>
    <mergeCell ref="B22:E22"/>
    <mergeCell ref="A23:F23"/>
    <mergeCell ref="B24:E24"/>
    <mergeCell ref="A25:F25"/>
    <mergeCell ref="B26:E26"/>
    <mergeCell ref="A27:F27"/>
    <mergeCell ref="B16:E16"/>
    <mergeCell ref="A17:F17"/>
    <mergeCell ref="B18:E18"/>
    <mergeCell ref="A19:F19"/>
    <mergeCell ref="B20:E20"/>
    <mergeCell ref="A21:F21"/>
    <mergeCell ref="B10:E10"/>
    <mergeCell ref="A11:F11"/>
    <mergeCell ref="B12:E12"/>
    <mergeCell ref="A13:F13"/>
    <mergeCell ref="B14:E14"/>
    <mergeCell ref="A15:F15"/>
    <mergeCell ref="A3:F3"/>
    <mergeCell ref="A5:F5"/>
    <mergeCell ref="A7:A8"/>
    <mergeCell ref="B7:E8"/>
    <mergeCell ref="F7:F8"/>
    <mergeCell ref="A9:F9"/>
  </mergeCells>
  <pageMargins left="0.51181102362204722" right="0.51181102362204722" top="0.78740157480314965" bottom="0.59055118110236227" header="0.31496062992125984" footer="0.39370078740157483"/>
  <pageSetup paperSize="9" scale="105" orientation="portrait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3" workbookViewId="0">
      <selection activeCell="B49" sqref="B49:F49"/>
    </sheetView>
  </sheetViews>
  <sheetFormatPr defaultRowHeight="14.4" x14ac:dyDescent="0.3"/>
  <cols>
    <col min="1" max="1" width="7.5546875" style="70" bestFit="1" customWidth="1"/>
    <col min="2" max="2" width="39.6640625" style="71" customWidth="1"/>
    <col min="3" max="3" width="4.6640625" style="71" customWidth="1"/>
    <col min="4" max="4" width="6.5546875" style="71" customWidth="1"/>
    <col min="5" max="5" width="11.33203125" style="72" customWidth="1"/>
    <col min="6" max="6" width="13" style="72" customWidth="1"/>
    <col min="7" max="7" width="11.44140625" style="71" customWidth="1"/>
  </cols>
  <sheetData>
    <row r="1" spans="1:7" ht="8.1" customHeight="1" x14ac:dyDescent="0.3"/>
    <row r="2" spans="1:7" x14ac:dyDescent="0.3">
      <c r="A2" s="153" t="s">
        <v>11</v>
      </c>
      <c r="B2" s="153"/>
      <c r="C2" s="153"/>
      <c r="D2" s="153"/>
      <c r="E2" s="154"/>
      <c r="F2" s="155"/>
      <c r="G2" s="153"/>
    </row>
    <row r="3" spans="1:7" x14ac:dyDescent="0.3">
      <c r="A3" s="156" t="s">
        <v>12</v>
      </c>
      <c r="B3" s="153" t="s">
        <v>13</v>
      </c>
      <c r="C3" s="156"/>
      <c r="E3" s="157"/>
      <c r="F3" s="157"/>
      <c r="G3" s="156"/>
    </row>
    <row r="4" spans="1:7" x14ac:dyDescent="0.3">
      <c r="A4" s="156" t="s">
        <v>14</v>
      </c>
      <c r="B4" s="153"/>
      <c r="C4" s="156"/>
      <c r="D4" s="156"/>
      <c r="E4" s="154"/>
      <c r="F4" s="244"/>
      <c r="G4" s="244"/>
    </row>
    <row r="5" spans="1:7" x14ac:dyDescent="0.3">
      <c r="A5" s="156" t="s">
        <v>15</v>
      </c>
      <c r="B5" s="153" t="s">
        <v>201</v>
      </c>
      <c r="C5" s="156"/>
      <c r="D5" s="156"/>
      <c r="E5" s="154"/>
      <c r="F5" s="244" t="s">
        <v>17</v>
      </c>
      <c r="G5" s="244"/>
    </row>
    <row r="6" spans="1:7" ht="15" thickBot="1" x14ac:dyDescent="0.35">
      <c r="A6" s="156"/>
      <c r="B6" s="153"/>
      <c r="C6" s="156"/>
      <c r="D6" s="156"/>
      <c r="E6" s="158"/>
      <c r="F6" s="158"/>
      <c r="G6" s="156"/>
    </row>
    <row r="7" spans="1:7" ht="15" thickBot="1" x14ac:dyDescent="0.35">
      <c r="A7" s="245" t="s">
        <v>18</v>
      </c>
      <c r="B7" s="245" t="s">
        <v>19</v>
      </c>
      <c r="C7" s="245" t="s">
        <v>20</v>
      </c>
      <c r="D7" s="247" t="s">
        <v>21</v>
      </c>
      <c r="E7" s="249" t="s">
        <v>22</v>
      </c>
      <c r="F7" s="251" t="s">
        <v>23</v>
      </c>
      <c r="G7" s="252"/>
    </row>
    <row r="8" spans="1:7" ht="15" thickBot="1" x14ac:dyDescent="0.35">
      <c r="A8" s="246"/>
      <c r="B8" s="246" t="s">
        <v>24</v>
      </c>
      <c r="C8" s="246" t="s">
        <v>25</v>
      </c>
      <c r="D8" s="248" t="s">
        <v>26</v>
      </c>
      <c r="E8" s="250"/>
      <c r="F8" s="73" t="s">
        <v>27</v>
      </c>
      <c r="G8" s="74" t="s">
        <v>28</v>
      </c>
    </row>
    <row r="9" spans="1:7" ht="12" customHeight="1" x14ac:dyDescent="0.3">
      <c r="A9" s="253"/>
      <c r="B9" s="254"/>
      <c r="C9" s="254"/>
      <c r="D9" s="254"/>
      <c r="E9" s="254"/>
      <c r="F9" s="254"/>
      <c r="G9" s="255"/>
    </row>
    <row r="10" spans="1:7" x14ac:dyDescent="0.3">
      <c r="A10" s="159">
        <v>1</v>
      </c>
      <c r="B10" s="233" t="s">
        <v>29</v>
      </c>
      <c r="C10" s="234"/>
      <c r="D10" s="234"/>
      <c r="E10" s="234"/>
      <c r="F10" s="235"/>
      <c r="G10" s="75">
        <f>+SUM(F12:F12)</f>
        <v>0</v>
      </c>
    </row>
    <row r="11" spans="1:7" ht="6.9" customHeight="1" x14ac:dyDescent="0.3">
      <c r="A11" s="160"/>
      <c r="B11" s="161"/>
      <c r="C11" s="161"/>
      <c r="D11" s="161"/>
      <c r="E11" s="162"/>
      <c r="F11" s="162"/>
      <c r="G11" s="163"/>
    </row>
    <row r="12" spans="1:7" ht="39.6" x14ac:dyDescent="0.3">
      <c r="A12" s="76" t="s">
        <v>30</v>
      </c>
      <c r="B12" s="164" t="s">
        <v>31</v>
      </c>
      <c r="C12" s="77" t="s">
        <v>32</v>
      </c>
      <c r="D12" s="78">
        <f>100*0.15</f>
        <v>15</v>
      </c>
      <c r="E12" s="79"/>
      <c r="F12" s="79">
        <f>+D12*E12</f>
        <v>0</v>
      </c>
      <c r="G12" s="80"/>
    </row>
    <row r="13" spans="1:7" x14ac:dyDescent="0.3">
      <c r="A13" s="76"/>
      <c r="B13" s="164"/>
      <c r="C13" s="77"/>
      <c r="D13" s="78"/>
      <c r="E13" s="79"/>
      <c r="F13" s="79"/>
      <c r="G13" s="80"/>
    </row>
    <row r="14" spans="1:7" x14ac:dyDescent="0.3">
      <c r="A14" s="159">
        <v>2</v>
      </c>
      <c r="B14" s="233" t="s">
        <v>90</v>
      </c>
      <c r="C14" s="234"/>
      <c r="D14" s="234"/>
      <c r="E14" s="234"/>
      <c r="F14" s="235"/>
      <c r="G14" s="75">
        <f>SUM(F16:F18)</f>
        <v>0</v>
      </c>
    </row>
    <row r="15" spans="1:7" x14ac:dyDescent="0.3">
      <c r="A15" s="160"/>
      <c r="B15" s="161"/>
      <c r="C15" s="161"/>
      <c r="D15" s="161"/>
      <c r="E15" s="162"/>
      <c r="F15" s="162"/>
      <c r="G15" s="163"/>
    </row>
    <row r="16" spans="1:7" ht="92.4" x14ac:dyDescent="0.3">
      <c r="A16" s="76" t="s">
        <v>37</v>
      </c>
      <c r="B16" s="175" t="s">
        <v>43</v>
      </c>
      <c r="C16" s="176"/>
      <c r="D16" s="78"/>
      <c r="E16" s="79"/>
      <c r="F16" s="79"/>
      <c r="G16" s="81"/>
    </row>
    <row r="17" spans="1:7" ht="15.6" x14ac:dyDescent="0.3">
      <c r="A17" s="76" t="s">
        <v>91</v>
      </c>
      <c r="B17" s="175" t="s">
        <v>45</v>
      </c>
      <c r="C17" s="77" t="s">
        <v>32</v>
      </c>
      <c r="D17" s="79">
        <f>0.2*0.4*16.6+0.2*0.4*4.05+0.2*0.4*8.5+0.2*0.4*4.76+0.2*0.4*8.7*2+0.2*0.4*2.93</f>
        <v>4.3392000000000008</v>
      </c>
      <c r="E17" s="79"/>
      <c r="F17" s="79">
        <f t="shared" ref="F17:F18" si="0">D17*E17</f>
        <v>0</v>
      </c>
      <c r="G17" s="81"/>
    </row>
    <row r="18" spans="1:7" ht="15.6" x14ac:dyDescent="0.3">
      <c r="A18" s="76" t="s">
        <v>92</v>
      </c>
      <c r="B18" s="175" t="s">
        <v>47</v>
      </c>
      <c r="C18" s="77" t="s">
        <v>32</v>
      </c>
      <c r="D18" s="78">
        <f>65*0.15</f>
        <v>9.75</v>
      </c>
      <c r="E18" s="79"/>
      <c r="F18" s="79">
        <f t="shared" si="0"/>
        <v>0</v>
      </c>
      <c r="G18" s="81"/>
    </row>
    <row r="19" spans="1:7" x14ac:dyDescent="0.3">
      <c r="A19" s="76"/>
      <c r="B19" s="175"/>
      <c r="C19" s="77"/>
      <c r="D19" s="78"/>
      <c r="E19" s="79"/>
      <c r="F19" s="79"/>
      <c r="G19" s="81"/>
    </row>
    <row r="20" spans="1:7" x14ac:dyDescent="0.3">
      <c r="A20" s="159">
        <v>3</v>
      </c>
      <c r="B20" s="233" t="s">
        <v>93</v>
      </c>
      <c r="C20" s="234"/>
      <c r="D20" s="234"/>
      <c r="E20" s="234"/>
      <c r="F20" s="235"/>
      <c r="G20" s="75">
        <f>+F22</f>
        <v>0</v>
      </c>
    </row>
    <row r="21" spans="1:7" x14ac:dyDescent="0.3">
      <c r="A21" s="76"/>
      <c r="B21" s="175"/>
      <c r="C21" s="77"/>
      <c r="D21" s="78"/>
      <c r="E21" s="79"/>
      <c r="F21" s="79"/>
      <c r="G21" s="81"/>
    </row>
    <row r="22" spans="1:7" ht="81.599999999999994" x14ac:dyDescent="0.3">
      <c r="A22" s="76" t="s">
        <v>42</v>
      </c>
      <c r="B22" s="83" t="s">
        <v>40</v>
      </c>
      <c r="C22" s="77" t="s">
        <v>35</v>
      </c>
      <c r="D22" s="78">
        <v>8.8000000000000007</v>
      </c>
      <c r="E22" s="79"/>
      <c r="F22" s="79">
        <f>+D22*E22</f>
        <v>0</v>
      </c>
      <c r="G22" s="81"/>
    </row>
    <row r="23" spans="1:7" ht="6.9" customHeight="1" x14ac:dyDescent="0.3">
      <c r="A23" s="165"/>
      <c r="B23" s="177"/>
      <c r="C23" s="177"/>
      <c r="D23" s="177"/>
      <c r="E23" s="178"/>
      <c r="F23" s="178"/>
      <c r="G23" s="179"/>
    </row>
    <row r="24" spans="1:7" x14ac:dyDescent="0.3">
      <c r="A24" s="159">
        <v>4</v>
      </c>
      <c r="B24" s="233" t="s">
        <v>202</v>
      </c>
      <c r="C24" s="234"/>
      <c r="D24" s="234"/>
      <c r="E24" s="234"/>
      <c r="F24" s="235"/>
      <c r="G24" s="75">
        <f>+SUM(F26:F26)</f>
        <v>0</v>
      </c>
    </row>
    <row r="25" spans="1:7" ht="6.9" customHeight="1" x14ac:dyDescent="0.3">
      <c r="A25" s="160"/>
      <c r="B25" s="161"/>
      <c r="C25" s="161"/>
      <c r="D25" s="161"/>
      <c r="E25" s="162"/>
      <c r="F25" s="162"/>
      <c r="G25" s="163"/>
    </row>
    <row r="26" spans="1:7" ht="52.8" x14ac:dyDescent="0.3">
      <c r="A26" s="82" t="s">
        <v>49</v>
      </c>
      <c r="B26" s="83" t="s">
        <v>203</v>
      </c>
      <c r="C26" s="77" t="s">
        <v>35</v>
      </c>
      <c r="D26" s="78">
        <v>14.86</v>
      </c>
      <c r="E26" s="79"/>
      <c r="F26" s="79">
        <f t="shared" ref="F26" si="1">D26*E26</f>
        <v>0</v>
      </c>
      <c r="G26" s="81"/>
    </row>
    <row r="27" spans="1:7" ht="6.9" customHeight="1" x14ac:dyDescent="0.3">
      <c r="A27" s="182"/>
      <c r="B27" s="183"/>
      <c r="C27" s="183"/>
      <c r="D27" s="183"/>
      <c r="E27" s="184"/>
      <c r="F27" s="184"/>
      <c r="G27" s="185"/>
    </row>
    <row r="28" spans="1:7" x14ac:dyDescent="0.3">
      <c r="A28" s="159">
        <v>5</v>
      </c>
      <c r="B28" s="233" t="s">
        <v>109</v>
      </c>
      <c r="C28" s="234"/>
      <c r="D28" s="234"/>
      <c r="E28" s="234"/>
      <c r="F28" s="235"/>
      <c r="G28" s="75">
        <f>SUM(F30:F31)</f>
        <v>0</v>
      </c>
    </row>
    <row r="29" spans="1:7" x14ac:dyDescent="0.3">
      <c r="A29" s="82"/>
      <c r="B29" s="83"/>
      <c r="C29" s="77"/>
      <c r="D29" s="78"/>
      <c r="E29" s="79"/>
      <c r="F29" s="79"/>
      <c r="G29" s="81"/>
    </row>
    <row r="30" spans="1:7" ht="66" x14ac:dyDescent="0.3">
      <c r="A30" s="82" t="s">
        <v>58</v>
      </c>
      <c r="B30" s="83" t="s">
        <v>50</v>
      </c>
      <c r="C30" s="77" t="s">
        <v>35</v>
      </c>
      <c r="D30" s="78">
        <f>+(10.96*2.85+0.72*2.85+1.11*2.85+2.9*2.85+0.98*2.85)-(0.74*2.1+0.78*1.1+0.9*1.1+0.72*1.1)</f>
        <v>43.3155</v>
      </c>
      <c r="E30" s="79"/>
      <c r="F30" s="79">
        <f>+D30*E30</f>
        <v>0</v>
      </c>
      <c r="G30" s="81"/>
    </row>
    <row r="31" spans="1:7" ht="39.6" x14ac:dyDescent="0.3">
      <c r="A31" s="82" t="s">
        <v>62</v>
      </c>
      <c r="B31" s="84" t="s">
        <v>83</v>
      </c>
      <c r="C31" s="77" t="s">
        <v>35</v>
      </c>
      <c r="D31" s="78">
        <f>16.5*2.85</f>
        <v>47.024999999999999</v>
      </c>
      <c r="E31" s="79"/>
      <c r="F31" s="79">
        <f>+D31*E31</f>
        <v>0</v>
      </c>
      <c r="G31" s="81"/>
    </row>
    <row r="32" spans="1:7" x14ac:dyDescent="0.3">
      <c r="A32" s="82"/>
      <c r="B32" s="83"/>
      <c r="C32" s="77"/>
      <c r="D32" s="78"/>
      <c r="E32" s="79"/>
      <c r="F32" s="79"/>
      <c r="G32" s="81"/>
    </row>
    <row r="33" spans="1:7" x14ac:dyDescent="0.3">
      <c r="A33" s="159">
        <v>6</v>
      </c>
      <c r="B33" s="233" t="s">
        <v>111</v>
      </c>
      <c r="C33" s="234"/>
      <c r="D33" s="234"/>
      <c r="E33" s="234"/>
      <c r="F33" s="235"/>
      <c r="G33" s="75">
        <f>+SUM(F36:F38)</f>
        <v>0</v>
      </c>
    </row>
    <row r="34" spans="1:7" ht="6.9" customHeight="1" x14ac:dyDescent="0.3">
      <c r="A34" s="82"/>
      <c r="B34" s="83"/>
      <c r="C34" s="180"/>
      <c r="D34" s="78"/>
      <c r="E34" s="79"/>
      <c r="F34" s="79"/>
      <c r="G34" s="81"/>
    </row>
    <row r="35" spans="1:7" x14ac:dyDescent="0.3">
      <c r="A35" s="82" t="s">
        <v>67</v>
      </c>
      <c r="B35" s="85" t="s">
        <v>59</v>
      </c>
      <c r="C35" s="180"/>
      <c r="D35" s="78"/>
      <c r="E35" s="79"/>
      <c r="F35" s="79"/>
      <c r="G35" s="81"/>
    </row>
    <row r="36" spans="1:7" ht="66" x14ac:dyDescent="0.3">
      <c r="A36" s="82" t="s">
        <v>112</v>
      </c>
      <c r="B36" s="83" t="s">
        <v>60</v>
      </c>
      <c r="C36" s="77" t="s">
        <v>61</v>
      </c>
      <c r="D36" s="78">
        <v>1</v>
      </c>
      <c r="E36" s="79"/>
      <c r="F36" s="79"/>
      <c r="G36" s="81"/>
    </row>
    <row r="37" spans="1:7" ht="66" x14ac:dyDescent="0.3">
      <c r="A37" s="82" t="s">
        <v>113</v>
      </c>
      <c r="B37" s="83" t="s">
        <v>63</v>
      </c>
      <c r="C37" s="77" t="s">
        <v>61</v>
      </c>
      <c r="D37" s="78">
        <v>1</v>
      </c>
      <c r="E37" s="79"/>
      <c r="F37" s="79"/>
      <c r="G37" s="81"/>
    </row>
    <row r="38" spans="1:7" ht="66" x14ac:dyDescent="0.3">
      <c r="A38" s="82" t="s">
        <v>114</v>
      </c>
      <c r="B38" s="83" t="s">
        <v>65</v>
      </c>
      <c r="C38" s="77" t="s">
        <v>61</v>
      </c>
      <c r="D38" s="78">
        <v>1</v>
      </c>
      <c r="E38" s="79"/>
      <c r="F38" s="79"/>
      <c r="G38" s="81"/>
    </row>
    <row r="39" spans="1:7" ht="6.9" customHeight="1" x14ac:dyDescent="0.3">
      <c r="A39" s="82"/>
      <c r="B39" s="83"/>
      <c r="C39" s="180"/>
      <c r="D39" s="78"/>
      <c r="E39" s="79"/>
      <c r="F39" s="79"/>
      <c r="G39" s="81"/>
    </row>
    <row r="40" spans="1:7" x14ac:dyDescent="0.3">
      <c r="A40" s="159">
        <v>7</v>
      </c>
      <c r="B40" s="233" t="s">
        <v>115</v>
      </c>
      <c r="C40" s="234"/>
      <c r="D40" s="234"/>
      <c r="E40" s="234"/>
      <c r="F40" s="235"/>
      <c r="G40" s="75">
        <f>+SUM(F42)</f>
        <v>0</v>
      </c>
    </row>
    <row r="41" spans="1:7" ht="6.9" customHeight="1" x14ac:dyDescent="0.3">
      <c r="A41" s="82"/>
      <c r="B41" s="83"/>
      <c r="C41" s="180"/>
      <c r="D41" s="78"/>
      <c r="E41" s="79"/>
      <c r="F41" s="79"/>
      <c r="G41" s="81"/>
    </row>
    <row r="42" spans="1:7" ht="52.8" x14ac:dyDescent="0.3">
      <c r="A42" s="82" t="s">
        <v>70</v>
      </c>
      <c r="B42" s="83" t="s">
        <v>68</v>
      </c>
      <c r="C42" s="77" t="s">
        <v>61</v>
      </c>
      <c r="D42" s="78">
        <v>1</v>
      </c>
      <c r="E42" s="79"/>
      <c r="F42" s="79">
        <f t="shared" ref="F42" si="2">D42*E42</f>
        <v>0</v>
      </c>
      <c r="G42" s="81"/>
    </row>
    <row r="43" spans="1:7" x14ac:dyDescent="0.3">
      <c r="A43" s="82"/>
      <c r="B43" s="83"/>
      <c r="C43" s="77"/>
      <c r="D43" s="78"/>
      <c r="E43" s="79"/>
      <c r="F43" s="79"/>
      <c r="G43" s="81"/>
    </row>
    <row r="44" spans="1:7" x14ac:dyDescent="0.3">
      <c r="A44" s="159">
        <v>8</v>
      </c>
      <c r="B44" s="233" t="s">
        <v>88</v>
      </c>
      <c r="C44" s="234"/>
      <c r="D44" s="234"/>
      <c r="E44" s="234"/>
      <c r="F44" s="235"/>
      <c r="G44" s="75">
        <f>+F46</f>
        <v>0</v>
      </c>
    </row>
    <row r="45" spans="1:7" x14ac:dyDescent="0.3">
      <c r="A45" s="82"/>
      <c r="B45" s="83"/>
      <c r="C45" s="77"/>
      <c r="D45" s="78"/>
      <c r="E45" s="79"/>
      <c r="F45" s="79"/>
      <c r="G45" s="81"/>
    </row>
    <row r="46" spans="1:7" ht="67.2" x14ac:dyDescent="0.3">
      <c r="A46" s="82" t="s">
        <v>74</v>
      </c>
      <c r="B46" s="83" t="s">
        <v>80</v>
      </c>
      <c r="C46" s="77" t="s">
        <v>61</v>
      </c>
      <c r="D46" s="78">
        <v>1</v>
      </c>
      <c r="E46" s="79"/>
      <c r="F46" s="79">
        <f>+D46*E46</f>
        <v>0</v>
      </c>
      <c r="G46" s="81"/>
    </row>
    <row r="47" spans="1:7" ht="15" thickBot="1" x14ac:dyDescent="0.35">
      <c r="A47" s="82"/>
      <c r="B47" s="86"/>
      <c r="C47" s="77"/>
      <c r="D47" s="87"/>
      <c r="E47" s="79"/>
      <c r="F47" s="79"/>
      <c r="G47" s="81"/>
    </row>
    <row r="48" spans="1:7" x14ac:dyDescent="0.3">
      <c r="A48" s="88"/>
      <c r="B48" s="236"/>
      <c r="C48" s="237"/>
      <c r="D48" s="237"/>
      <c r="E48" s="237"/>
      <c r="F48" s="238"/>
      <c r="G48" s="239">
        <f>+SUM(G10:G47)</f>
        <v>0</v>
      </c>
    </row>
    <row r="49" spans="1:7" ht="15" thickBot="1" x14ac:dyDescent="0.35">
      <c r="A49" s="89"/>
      <c r="B49" s="241" t="s">
        <v>81</v>
      </c>
      <c r="C49" s="242"/>
      <c r="D49" s="242"/>
      <c r="E49" s="242"/>
      <c r="F49" s="243"/>
      <c r="G49" s="240"/>
    </row>
  </sheetData>
  <mergeCells count="20">
    <mergeCell ref="B28:F28"/>
    <mergeCell ref="A9:G9"/>
    <mergeCell ref="B10:F10"/>
    <mergeCell ref="B14:F14"/>
    <mergeCell ref="B20:F20"/>
    <mergeCell ref="B24:F24"/>
    <mergeCell ref="F4:G4"/>
    <mergeCell ref="F5:G5"/>
    <mergeCell ref="A7:A8"/>
    <mergeCell ref="B7:B8"/>
    <mergeCell ref="C7:C8"/>
    <mergeCell ref="D7:D8"/>
    <mergeCell ref="E7:E8"/>
    <mergeCell ref="F7:G7"/>
    <mergeCell ref="B33:F33"/>
    <mergeCell ref="B40:F40"/>
    <mergeCell ref="B44:F44"/>
    <mergeCell ref="B48:F48"/>
    <mergeCell ref="G48:G49"/>
    <mergeCell ref="B49:F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B48" sqref="B48:F48"/>
    </sheetView>
  </sheetViews>
  <sheetFormatPr defaultRowHeight="14.4" x14ac:dyDescent="0.3"/>
  <cols>
    <col min="1" max="1" width="6.88671875" style="90" customWidth="1"/>
    <col min="2" max="2" width="39.6640625" customWidth="1"/>
    <col min="3" max="3" width="5.33203125" customWidth="1"/>
    <col min="4" max="4" width="8.5546875" customWidth="1"/>
    <col min="5" max="5" width="11.33203125" style="91" customWidth="1"/>
    <col min="6" max="6" width="11.44140625" style="91" bestFit="1" customWidth="1"/>
    <col min="7" max="7" width="11.44140625" customWidth="1"/>
    <col min="9" max="9" width="10" bestFit="1" customWidth="1"/>
  </cols>
  <sheetData>
    <row r="1" spans="1:7" ht="13.5" customHeight="1" x14ac:dyDescent="0.3"/>
    <row r="2" spans="1:7" x14ac:dyDescent="0.3">
      <c r="A2" s="4" t="s">
        <v>11</v>
      </c>
      <c r="B2" s="4"/>
      <c r="C2" s="130"/>
      <c r="D2" s="130"/>
      <c r="E2" s="5"/>
      <c r="F2" s="131"/>
      <c r="G2" s="130"/>
    </row>
    <row r="3" spans="1:7" x14ac:dyDescent="0.3">
      <c r="A3" s="1" t="s">
        <v>12</v>
      </c>
      <c r="B3" s="4" t="s">
        <v>165</v>
      </c>
      <c r="C3" s="3"/>
      <c r="E3" s="11"/>
      <c r="F3" s="2"/>
      <c r="G3" s="3"/>
    </row>
    <row r="4" spans="1:7" x14ac:dyDescent="0.3">
      <c r="A4" s="1" t="s">
        <v>14</v>
      </c>
      <c r="B4" s="4"/>
      <c r="C4" s="3"/>
      <c r="D4" s="3"/>
      <c r="E4" s="5"/>
      <c r="F4" s="268"/>
      <c r="G4" s="268"/>
    </row>
    <row r="5" spans="1:7" x14ac:dyDescent="0.3">
      <c r="A5" s="1" t="s">
        <v>15</v>
      </c>
      <c r="B5" s="4" t="s">
        <v>166</v>
      </c>
      <c r="C5" s="3"/>
      <c r="D5" s="3"/>
      <c r="E5" s="5"/>
      <c r="F5" s="268" t="s">
        <v>122</v>
      </c>
      <c r="G5" s="268"/>
    </row>
    <row r="6" spans="1:7" ht="15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269" t="s">
        <v>18</v>
      </c>
      <c r="B7" s="127" t="s">
        <v>19</v>
      </c>
      <c r="C7" s="269" t="s">
        <v>20</v>
      </c>
      <c r="D7" s="271" t="s">
        <v>21</v>
      </c>
      <c r="E7" s="273" t="s">
        <v>22</v>
      </c>
      <c r="F7" s="275" t="s">
        <v>23</v>
      </c>
      <c r="G7" s="276"/>
    </row>
    <row r="8" spans="1:7" ht="21" customHeight="1" thickBot="1" x14ac:dyDescent="0.35">
      <c r="A8" s="270"/>
      <c r="B8" s="128" t="s">
        <v>24</v>
      </c>
      <c r="C8" s="270" t="s">
        <v>25</v>
      </c>
      <c r="D8" s="272" t="s">
        <v>26</v>
      </c>
      <c r="E8" s="274"/>
      <c r="F8" s="92" t="s">
        <v>27</v>
      </c>
      <c r="G8" s="93" t="s">
        <v>28</v>
      </c>
    </row>
    <row r="9" spans="1:7" ht="12" customHeight="1" x14ac:dyDescent="0.3">
      <c r="A9" s="277"/>
      <c r="B9" s="278"/>
      <c r="C9" s="278"/>
      <c r="D9" s="278"/>
      <c r="E9" s="278"/>
      <c r="F9" s="278"/>
      <c r="G9" s="279"/>
    </row>
    <row r="10" spans="1:7" x14ac:dyDescent="0.3">
      <c r="A10" s="132">
        <v>1</v>
      </c>
      <c r="B10" s="256" t="s">
        <v>29</v>
      </c>
      <c r="C10" s="257"/>
      <c r="D10" s="257"/>
      <c r="E10" s="257"/>
      <c r="F10" s="258"/>
      <c r="G10" s="94">
        <f>+SUM(F12:F14)</f>
        <v>0</v>
      </c>
    </row>
    <row r="11" spans="1:7" ht="15.75" customHeight="1" x14ac:dyDescent="0.3">
      <c r="A11" s="133"/>
      <c r="B11" s="134"/>
      <c r="C11" s="134"/>
      <c r="D11" s="134"/>
      <c r="E11" s="135"/>
      <c r="F11" s="135"/>
      <c r="G11" s="136"/>
    </row>
    <row r="12" spans="1:7" ht="55.5" customHeight="1" x14ac:dyDescent="0.3">
      <c r="A12" s="29" t="s">
        <v>30</v>
      </c>
      <c r="B12" s="51" t="s">
        <v>167</v>
      </c>
      <c r="C12" s="36" t="s">
        <v>124</v>
      </c>
      <c r="D12" s="36">
        <f>(37.54*0.15)</f>
        <v>5.6309999999999993</v>
      </c>
      <c r="E12" s="33"/>
      <c r="F12" s="229">
        <f>D12*E12</f>
        <v>0</v>
      </c>
      <c r="G12" s="136"/>
    </row>
    <row r="13" spans="1:7" ht="54.75" customHeight="1" x14ac:dyDescent="0.3">
      <c r="A13" s="29" t="s">
        <v>33</v>
      </c>
      <c r="B13" s="51" t="s">
        <v>168</v>
      </c>
      <c r="C13" s="36" t="s">
        <v>124</v>
      </c>
      <c r="D13" s="32">
        <f>(15.17)</f>
        <v>15.17</v>
      </c>
      <c r="E13" s="33"/>
      <c r="F13" s="33">
        <f>D13*E13</f>
        <v>0</v>
      </c>
      <c r="G13" s="52"/>
    </row>
    <row r="14" spans="1:7" ht="54.75" customHeight="1" x14ac:dyDescent="0.3">
      <c r="A14" s="29" t="s">
        <v>138</v>
      </c>
      <c r="B14" s="51" t="s">
        <v>123</v>
      </c>
      <c r="C14" s="36" t="s">
        <v>124</v>
      </c>
      <c r="D14" s="32">
        <f>(0.25*2.82)</f>
        <v>0.70499999999999996</v>
      </c>
      <c r="E14" s="33"/>
      <c r="F14" s="33">
        <f>E14*D14</f>
        <v>0</v>
      </c>
      <c r="G14" s="52"/>
    </row>
    <row r="15" spans="1:7" ht="19.5" customHeight="1" x14ac:dyDescent="0.3">
      <c r="A15" s="29"/>
      <c r="B15" s="51"/>
      <c r="C15" s="36"/>
      <c r="D15" s="32"/>
      <c r="E15" s="33"/>
      <c r="F15" s="33"/>
      <c r="G15" s="52"/>
    </row>
    <row r="16" spans="1:7" ht="19.5" customHeight="1" x14ac:dyDescent="0.3">
      <c r="A16" s="152">
        <v>2</v>
      </c>
      <c r="B16" s="280" t="s">
        <v>98</v>
      </c>
      <c r="C16" s="281"/>
      <c r="D16" s="281"/>
      <c r="E16" s="281"/>
      <c r="F16" s="282"/>
      <c r="G16" s="95">
        <f>SUM(F18)</f>
        <v>0</v>
      </c>
    </row>
    <row r="17" spans="1:7" ht="19.5" customHeight="1" x14ac:dyDescent="0.3">
      <c r="A17" s="35"/>
      <c r="B17" s="51"/>
      <c r="C17" s="36"/>
      <c r="D17" s="32"/>
      <c r="E17" s="33"/>
      <c r="F17" s="33"/>
      <c r="G17" s="52"/>
    </row>
    <row r="18" spans="1:7" ht="54" customHeight="1" x14ac:dyDescent="0.3">
      <c r="A18" s="35" t="s">
        <v>37</v>
      </c>
      <c r="B18" s="51" t="s">
        <v>169</v>
      </c>
      <c r="C18" s="36" t="s">
        <v>170</v>
      </c>
      <c r="D18" s="32">
        <f>(0.8*0.8*0.5*3)</f>
        <v>0.96000000000000019</v>
      </c>
      <c r="E18" s="33"/>
      <c r="F18" s="33">
        <f>D18*E18</f>
        <v>0</v>
      </c>
      <c r="G18" s="52"/>
    </row>
    <row r="19" spans="1:7" x14ac:dyDescent="0.3">
      <c r="A19" s="35"/>
      <c r="B19" s="51"/>
      <c r="C19" s="36"/>
      <c r="D19" s="32"/>
      <c r="E19" s="33"/>
      <c r="F19" s="33"/>
      <c r="G19" s="52"/>
    </row>
    <row r="20" spans="1:7" x14ac:dyDescent="0.3">
      <c r="A20" s="132">
        <v>3</v>
      </c>
      <c r="B20" s="256" t="s">
        <v>41</v>
      </c>
      <c r="C20" s="257"/>
      <c r="D20" s="257"/>
      <c r="E20" s="257"/>
      <c r="F20" s="258"/>
      <c r="G20" s="94">
        <f>SUM(F22:F27)</f>
        <v>0</v>
      </c>
    </row>
    <row r="21" spans="1:7" ht="13.5" customHeight="1" x14ac:dyDescent="0.3">
      <c r="A21" s="133"/>
      <c r="B21" s="134"/>
      <c r="C21" s="134"/>
      <c r="D21" s="134"/>
      <c r="E21" s="135"/>
      <c r="F21" s="135"/>
      <c r="G21" s="136"/>
    </row>
    <row r="22" spans="1:7" ht="40.5" customHeight="1" x14ac:dyDescent="0.3">
      <c r="A22" s="29" t="s">
        <v>42</v>
      </c>
      <c r="B22" s="30" t="s">
        <v>171</v>
      </c>
      <c r="C22" s="36" t="s">
        <v>124</v>
      </c>
      <c r="D22" s="36">
        <f>(0.6*0.6*3)</f>
        <v>1.08</v>
      </c>
      <c r="E22" s="135"/>
      <c r="F22" s="135">
        <f>D22*E22</f>
        <v>0</v>
      </c>
      <c r="G22" s="136"/>
    </row>
    <row r="23" spans="1:7" ht="93.75" customHeight="1" x14ac:dyDescent="0.3">
      <c r="A23" s="29" t="s">
        <v>101</v>
      </c>
      <c r="B23" s="30" t="s">
        <v>43</v>
      </c>
      <c r="C23" s="31"/>
      <c r="D23" s="32"/>
      <c r="E23" s="33"/>
      <c r="F23" s="33"/>
      <c r="G23" s="34"/>
    </row>
    <row r="24" spans="1:7" ht="17.25" customHeight="1" x14ac:dyDescent="0.3">
      <c r="A24" s="35" t="s">
        <v>102</v>
      </c>
      <c r="B24" s="30" t="s">
        <v>103</v>
      </c>
      <c r="C24" s="36" t="s">
        <v>170</v>
      </c>
      <c r="D24" s="32">
        <f>(0.5*0.5*0.4*3)</f>
        <v>0.30000000000000004</v>
      </c>
      <c r="E24" s="33"/>
      <c r="F24" s="33">
        <f>D24*E24</f>
        <v>0</v>
      </c>
      <c r="G24" s="34"/>
    </row>
    <row r="25" spans="1:7" ht="15.75" customHeight="1" x14ac:dyDescent="0.3">
      <c r="A25" s="35" t="s">
        <v>104</v>
      </c>
      <c r="B25" s="30" t="s">
        <v>105</v>
      </c>
      <c r="C25" s="36" t="s">
        <v>170</v>
      </c>
      <c r="D25" s="32">
        <f>(0.2*0.2*3.07*3)</f>
        <v>0.36840000000000006</v>
      </c>
      <c r="E25" s="33"/>
      <c r="F25" s="33">
        <f>D25*E25</f>
        <v>0</v>
      </c>
      <c r="G25" s="34"/>
    </row>
    <row r="26" spans="1:7" ht="15" x14ac:dyDescent="0.3">
      <c r="A26" s="35" t="s">
        <v>106</v>
      </c>
      <c r="B26" s="30" t="s">
        <v>45</v>
      </c>
      <c r="C26" s="36" t="s">
        <v>170</v>
      </c>
      <c r="D26" s="32">
        <f>((3.76+3.86+4.35+4.23+4.09+2.74*2+4.14+3.14+4.73)*0.2*0.4)</f>
        <v>3.0224000000000006</v>
      </c>
      <c r="E26" s="33"/>
      <c r="F26" s="33">
        <f>D26*E26</f>
        <v>0</v>
      </c>
      <c r="G26" s="34"/>
    </row>
    <row r="27" spans="1:7" ht="15" x14ac:dyDescent="0.3">
      <c r="A27" s="35" t="s">
        <v>107</v>
      </c>
      <c r="B27" s="30" t="s">
        <v>47</v>
      </c>
      <c r="C27" s="36" t="s">
        <v>170</v>
      </c>
      <c r="D27" s="32">
        <f>((10.4+13.48+15.54+2.99+0.99)*0.15)</f>
        <v>6.5100000000000007</v>
      </c>
      <c r="E27" s="33"/>
      <c r="F27" s="33">
        <f>D27*E27</f>
        <v>0</v>
      </c>
      <c r="G27" s="34"/>
    </row>
    <row r="28" spans="1:7" ht="15" customHeight="1" x14ac:dyDescent="0.3">
      <c r="A28" s="145"/>
      <c r="B28" s="146"/>
      <c r="C28" s="146"/>
      <c r="D28" s="146"/>
      <c r="E28" s="147"/>
      <c r="F28" s="147"/>
      <c r="G28" s="148"/>
    </row>
    <row r="29" spans="1:7" ht="15" customHeight="1" x14ac:dyDescent="0.3">
      <c r="A29" s="132">
        <v>4</v>
      </c>
      <c r="B29" s="256" t="s">
        <v>108</v>
      </c>
      <c r="C29" s="257"/>
      <c r="D29" s="257"/>
      <c r="E29" s="257"/>
      <c r="F29" s="258"/>
      <c r="G29" s="94">
        <f>+SUM(F31:F31)</f>
        <v>0</v>
      </c>
    </row>
    <row r="30" spans="1:7" ht="15" customHeight="1" x14ac:dyDescent="0.3">
      <c r="A30" s="145"/>
      <c r="B30" s="38"/>
      <c r="C30" s="146"/>
      <c r="D30" s="146"/>
      <c r="E30" s="147"/>
      <c r="F30" s="147"/>
      <c r="G30" s="148"/>
    </row>
    <row r="31" spans="1:7" ht="83.25" customHeight="1" x14ac:dyDescent="0.3">
      <c r="A31" s="35" t="s">
        <v>49</v>
      </c>
      <c r="B31" s="38" t="s">
        <v>172</v>
      </c>
      <c r="C31" s="36" t="s">
        <v>124</v>
      </c>
      <c r="D31" s="32">
        <f>((4.35+4.24+4.09+2.74+4.14+3.14+3.74)*0.4)</f>
        <v>10.576000000000001</v>
      </c>
      <c r="E31" s="33"/>
      <c r="F31" s="33">
        <f t="shared" ref="F31" si="0">D31*E31</f>
        <v>0</v>
      </c>
      <c r="G31" s="148"/>
    </row>
    <row r="32" spans="1:7" ht="15" customHeight="1" x14ac:dyDescent="0.3">
      <c r="A32" s="203"/>
      <c r="B32" s="204"/>
      <c r="C32" s="204"/>
      <c r="D32" s="204"/>
      <c r="E32" s="205"/>
      <c r="F32" s="205"/>
      <c r="G32" s="206"/>
    </row>
    <row r="33" spans="1:7" x14ac:dyDescent="0.3">
      <c r="A33" s="132">
        <v>5</v>
      </c>
      <c r="B33" s="256" t="s">
        <v>109</v>
      </c>
      <c r="C33" s="257"/>
      <c r="D33" s="257"/>
      <c r="E33" s="257"/>
      <c r="F33" s="258"/>
      <c r="G33" s="94">
        <f>SUM(F35:F37)</f>
        <v>0</v>
      </c>
    </row>
    <row r="34" spans="1:7" x14ac:dyDescent="0.3">
      <c r="A34" s="37"/>
      <c r="B34" s="38"/>
      <c r="C34" s="36"/>
      <c r="D34" s="32"/>
      <c r="E34" s="33"/>
      <c r="F34" s="33"/>
      <c r="G34" s="34"/>
    </row>
    <row r="35" spans="1:7" ht="69" x14ac:dyDescent="0.3">
      <c r="A35" s="37" t="s">
        <v>58</v>
      </c>
      <c r="B35" s="38" t="s">
        <v>50</v>
      </c>
      <c r="C35" s="36" t="s">
        <v>124</v>
      </c>
      <c r="D35" s="32">
        <f>((9.4+4.29+4.14+4.07)*3.07)-(0.85*2.1+0.74*2.1+0.4*0.4)</f>
        <v>63.734000000000002</v>
      </c>
      <c r="E35" s="33"/>
      <c r="F35" s="33">
        <f>+D35*E35</f>
        <v>0</v>
      </c>
      <c r="G35" s="34"/>
    </row>
    <row r="36" spans="1:7" ht="28.5" customHeight="1" x14ac:dyDescent="0.3">
      <c r="A36" s="37" t="s">
        <v>62</v>
      </c>
      <c r="B36" s="38" t="s">
        <v>52</v>
      </c>
      <c r="C36" s="36" t="s">
        <v>124</v>
      </c>
      <c r="D36" s="32">
        <f>((4.45+4.05+1+0.5+1.94+8.99)*2.82)-(0.74*2.1+0.4*0.4+1.23*1.1+0.98*2.1+0.98*2.1+0.9*2.1)+D35</f>
        <v>113.6836</v>
      </c>
      <c r="E36" s="33"/>
      <c r="F36" s="33">
        <f>+D36*E36</f>
        <v>0</v>
      </c>
      <c r="G36" s="34"/>
    </row>
    <row r="37" spans="1:7" ht="27.75" customHeight="1" x14ac:dyDescent="0.3">
      <c r="A37" s="37" t="s">
        <v>64</v>
      </c>
      <c r="B37" s="96" t="s">
        <v>54</v>
      </c>
      <c r="C37" s="36" t="s">
        <v>124</v>
      </c>
      <c r="D37" s="32">
        <f>(10.4+13.48+15.54+2.99+0.99)</f>
        <v>43.400000000000006</v>
      </c>
      <c r="E37" s="33"/>
      <c r="F37" s="33">
        <f>+D37*E37</f>
        <v>0</v>
      </c>
      <c r="G37" s="34"/>
    </row>
    <row r="38" spans="1:7" ht="18.75" customHeight="1" x14ac:dyDescent="0.3">
      <c r="A38" s="37"/>
      <c r="B38" s="38"/>
      <c r="C38" s="36"/>
      <c r="D38" s="32"/>
      <c r="E38" s="33"/>
      <c r="F38" s="33"/>
      <c r="G38" s="34"/>
    </row>
    <row r="39" spans="1:7" ht="18.75" customHeight="1" x14ac:dyDescent="0.3">
      <c r="A39" s="132">
        <v>6</v>
      </c>
      <c r="B39" s="256" t="s">
        <v>173</v>
      </c>
      <c r="C39" s="257"/>
      <c r="D39" s="257"/>
      <c r="E39" s="257"/>
      <c r="F39" s="258"/>
      <c r="G39" s="94">
        <f>SUM(F42)</f>
        <v>0</v>
      </c>
    </row>
    <row r="40" spans="1:7" ht="17.25" customHeight="1" x14ac:dyDescent="0.3">
      <c r="A40" s="37"/>
      <c r="B40" s="38"/>
      <c r="C40" s="36"/>
      <c r="D40" s="32"/>
      <c r="E40" s="33"/>
      <c r="F40" s="33"/>
      <c r="G40" s="34"/>
    </row>
    <row r="41" spans="1:7" ht="19.5" customHeight="1" x14ac:dyDescent="0.3">
      <c r="A41" s="97" t="s">
        <v>67</v>
      </c>
      <c r="B41" s="98" t="s">
        <v>59</v>
      </c>
      <c r="C41" s="36"/>
      <c r="D41" s="32"/>
      <c r="E41" s="33"/>
      <c r="F41" s="33"/>
      <c r="G41" s="34"/>
    </row>
    <row r="42" spans="1:7" ht="65.25" customHeight="1" x14ac:dyDescent="0.3">
      <c r="A42" s="37" t="s">
        <v>112</v>
      </c>
      <c r="B42" s="38" t="s">
        <v>65</v>
      </c>
      <c r="C42" s="36" t="s">
        <v>143</v>
      </c>
      <c r="D42" s="32">
        <v>1</v>
      </c>
      <c r="E42" s="33"/>
      <c r="F42" s="33">
        <f>D42*E42</f>
        <v>0</v>
      </c>
      <c r="G42" s="34"/>
    </row>
    <row r="43" spans="1:7" x14ac:dyDescent="0.3">
      <c r="A43" s="37"/>
      <c r="B43" s="38"/>
      <c r="C43" s="36"/>
      <c r="D43" s="32"/>
      <c r="E43" s="33"/>
      <c r="F43" s="33"/>
      <c r="G43" s="34"/>
    </row>
    <row r="44" spans="1:7" x14ac:dyDescent="0.3">
      <c r="A44" s="132">
        <v>7</v>
      </c>
      <c r="B44" s="256" t="s">
        <v>115</v>
      </c>
      <c r="C44" s="257"/>
      <c r="D44" s="257"/>
      <c r="E44" s="257"/>
      <c r="F44" s="258"/>
      <c r="G44" s="94">
        <f>+SUM(F46)</f>
        <v>0</v>
      </c>
    </row>
    <row r="45" spans="1:7" ht="15.75" customHeight="1" x14ac:dyDescent="0.3">
      <c r="A45" s="37"/>
      <c r="B45" s="38"/>
      <c r="C45" s="150"/>
      <c r="D45" s="32"/>
      <c r="E45" s="33"/>
      <c r="F45" s="33"/>
      <c r="G45" s="34"/>
    </row>
    <row r="46" spans="1:7" ht="57.75" customHeight="1" x14ac:dyDescent="0.3">
      <c r="A46" s="37" t="s">
        <v>70</v>
      </c>
      <c r="B46" s="38" t="s">
        <v>174</v>
      </c>
      <c r="C46" s="36" t="s">
        <v>61</v>
      </c>
      <c r="D46" s="32">
        <v>1</v>
      </c>
      <c r="E46" s="33"/>
      <c r="F46" s="33">
        <f t="shared" ref="F46" si="1">D46*E46</f>
        <v>0</v>
      </c>
      <c r="G46" s="34"/>
    </row>
    <row r="47" spans="1:7" ht="15" customHeight="1" x14ac:dyDescent="0.3">
      <c r="A47" s="37"/>
      <c r="B47" s="38"/>
      <c r="C47" s="150"/>
      <c r="D47" s="32"/>
      <c r="E47" s="33"/>
      <c r="F47" s="33"/>
      <c r="G47" s="34"/>
    </row>
    <row r="48" spans="1:7" x14ac:dyDescent="0.3">
      <c r="A48" s="132">
        <v>8</v>
      </c>
      <c r="B48" s="256" t="s">
        <v>175</v>
      </c>
      <c r="C48" s="257"/>
      <c r="D48" s="257"/>
      <c r="E48" s="257"/>
      <c r="F48" s="258"/>
      <c r="G48" s="94">
        <f>+SUM(F50:F50)</f>
        <v>0</v>
      </c>
    </row>
    <row r="49" spans="1:7" ht="15.75" customHeight="1" x14ac:dyDescent="0.3">
      <c r="A49" s="37"/>
      <c r="B49" s="38"/>
      <c r="C49" s="150"/>
      <c r="D49" s="32"/>
      <c r="E49" s="33"/>
      <c r="F49" s="33"/>
      <c r="G49" s="34"/>
    </row>
    <row r="50" spans="1:7" ht="58.5" customHeight="1" x14ac:dyDescent="0.3">
      <c r="A50" s="37" t="s">
        <v>74</v>
      </c>
      <c r="B50" s="38" t="s">
        <v>176</v>
      </c>
      <c r="C50" s="36" t="s">
        <v>117</v>
      </c>
      <c r="D50" s="32">
        <v>1</v>
      </c>
      <c r="E50" s="33"/>
      <c r="F50" s="33">
        <f>D50*E50</f>
        <v>0</v>
      </c>
      <c r="G50" s="34"/>
    </row>
    <row r="51" spans="1:7" ht="18" customHeight="1" x14ac:dyDescent="0.3">
      <c r="A51" s="37"/>
      <c r="B51" s="38"/>
      <c r="C51" s="36"/>
      <c r="D51" s="32"/>
      <c r="E51" s="33"/>
      <c r="F51" s="33"/>
      <c r="G51" s="34"/>
    </row>
    <row r="52" spans="1:7" ht="18" customHeight="1" x14ac:dyDescent="0.3">
      <c r="A52" s="132">
        <v>9</v>
      </c>
      <c r="B52" s="256" t="s">
        <v>118</v>
      </c>
      <c r="C52" s="257"/>
      <c r="D52" s="257"/>
      <c r="E52" s="257"/>
      <c r="F52" s="258"/>
      <c r="G52" s="94">
        <f>+SUM(F54:F54)</f>
        <v>0</v>
      </c>
    </row>
    <row r="53" spans="1:7" ht="18" customHeight="1" x14ac:dyDescent="0.3">
      <c r="A53" s="37"/>
      <c r="B53" s="38"/>
      <c r="C53" s="36"/>
      <c r="D53" s="32"/>
      <c r="E53" s="33"/>
      <c r="F53" s="33"/>
      <c r="G53" s="34"/>
    </row>
    <row r="54" spans="1:7" ht="69" customHeight="1" x14ac:dyDescent="0.3">
      <c r="A54" s="37" t="s">
        <v>79</v>
      </c>
      <c r="B54" s="38" t="s">
        <v>177</v>
      </c>
      <c r="C54" s="36" t="s">
        <v>61</v>
      </c>
      <c r="D54" s="32">
        <v>1</v>
      </c>
      <c r="E54" s="33"/>
      <c r="F54" s="33">
        <f>D54*E54</f>
        <v>0</v>
      </c>
      <c r="G54" s="34"/>
    </row>
    <row r="55" spans="1:7" ht="18" customHeight="1" x14ac:dyDescent="0.3">
      <c r="A55" s="37"/>
      <c r="B55" s="38"/>
      <c r="C55" s="36"/>
      <c r="D55" s="32"/>
      <c r="E55" s="33"/>
      <c r="F55" s="33"/>
      <c r="G55" s="34"/>
    </row>
    <row r="56" spans="1:7" ht="18" customHeight="1" x14ac:dyDescent="0.3">
      <c r="A56" s="132">
        <v>10</v>
      </c>
      <c r="B56" s="256" t="s">
        <v>119</v>
      </c>
      <c r="C56" s="257"/>
      <c r="D56" s="257"/>
      <c r="E56" s="257"/>
      <c r="F56" s="258"/>
      <c r="G56" s="94">
        <f>+F58</f>
        <v>0</v>
      </c>
    </row>
    <row r="57" spans="1:7" ht="18" customHeight="1" x14ac:dyDescent="0.3">
      <c r="A57" s="37"/>
      <c r="B57" s="38"/>
      <c r="C57" s="36"/>
      <c r="D57" s="32"/>
      <c r="E57" s="33"/>
      <c r="F57" s="33"/>
      <c r="G57" s="34"/>
    </row>
    <row r="58" spans="1:7" ht="69.75" customHeight="1" x14ac:dyDescent="0.3">
      <c r="A58" s="37" t="s">
        <v>178</v>
      </c>
      <c r="B58" s="96" t="s">
        <v>179</v>
      </c>
      <c r="C58" s="36" t="s">
        <v>61</v>
      </c>
      <c r="D58" s="32">
        <v>1</v>
      </c>
      <c r="E58" s="33"/>
      <c r="F58" s="33">
        <f>+D58*E58</f>
        <v>0</v>
      </c>
      <c r="G58" s="34"/>
    </row>
    <row r="59" spans="1:7" x14ac:dyDescent="0.3">
      <c r="A59" s="37"/>
      <c r="B59" s="38"/>
      <c r="C59" s="36"/>
      <c r="D59" s="32"/>
      <c r="E59" s="33"/>
      <c r="F59" s="33"/>
      <c r="G59" s="34"/>
    </row>
    <row r="60" spans="1:7" ht="19.5" customHeight="1" x14ac:dyDescent="0.3">
      <c r="A60" s="99">
        <v>11</v>
      </c>
      <c r="B60" s="259" t="s">
        <v>180</v>
      </c>
      <c r="C60" s="259"/>
      <c r="D60" s="259"/>
      <c r="E60" s="259"/>
      <c r="F60" s="259"/>
      <c r="G60" s="100">
        <f>F62</f>
        <v>0</v>
      </c>
    </row>
    <row r="61" spans="1:7" ht="14.25" customHeight="1" x14ac:dyDescent="0.3">
      <c r="A61" s="101"/>
      <c r="B61" s="102"/>
      <c r="C61" s="103"/>
      <c r="D61" s="104"/>
      <c r="E61" s="105"/>
      <c r="F61" s="105"/>
      <c r="G61" s="106"/>
    </row>
    <row r="62" spans="1:7" ht="54" customHeight="1" x14ac:dyDescent="0.3">
      <c r="A62" s="151" t="s">
        <v>181</v>
      </c>
      <c r="B62" s="38" t="s">
        <v>182</v>
      </c>
      <c r="C62" s="36" t="s">
        <v>61</v>
      </c>
      <c r="D62" s="32">
        <v>1</v>
      </c>
      <c r="E62" s="33"/>
      <c r="F62" s="33">
        <f>D62*E62</f>
        <v>0</v>
      </c>
      <c r="G62" s="34"/>
    </row>
    <row r="63" spans="1:7" ht="15" thickBot="1" x14ac:dyDescent="0.35">
      <c r="A63" s="109"/>
      <c r="B63" s="110"/>
      <c r="C63" s="111"/>
      <c r="D63" s="112"/>
      <c r="E63" s="107"/>
      <c r="F63" s="107"/>
      <c r="G63" s="108"/>
    </row>
    <row r="64" spans="1:7" x14ac:dyDescent="0.3">
      <c r="A64" s="113"/>
      <c r="B64" s="260"/>
      <c r="C64" s="261"/>
      <c r="D64" s="261"/>
      <c r="E64" s="261"/>
      <c r="F64" s="262"/>
      <c r="G64" s="263">
        <f>+SUM(G10:G63)</f>
        <v>0</v>
      </c>
    </row>
    <row r="65" spans="1:9" ht="15" thickBot="1" x14ac:dyDescent="0.35">
      <c r="A65" s="114"/>
      <c r="B65" s="265" t="s">
        <v>81</v>
      </c>
      <c r="C65" s="266"/>
      <c r="D65" s="266"/>
      <c r="E65" s="266"/>
      <c r="F65" s="267"/>
      <c r="G65" s="264"/>
      <c r="I65" s="207"/>
    </row>
  </sheetData>
  <mergeCells count="22">
    <mergeCell ref="B48:F48"/>
    <mergeCell ref="B29:F29"/>
    <mergeCell ref="B33:F33"/>
    <mergeCell ref="B39:F39"/>
    <mergeCell ref="A9:G9"/>
    <mergeCell ref="B10:F10"/>
    <mergeCell ref="B16:F16"/>
    <mergeCell ref="B20:F20"/>
    <mergeCell ref="B44:F44"/>
    <mergeCell ref="F4:G4"/>
    <mergeCell ref="F5:G5"/>
    <mergeCell ref="A7:A8"/>
    <mergeCell ref="C7:C8"/>
    <mergeCell ref="D7:D8"/>
    <mergeCell ref="E7:E8"/>
    <mergeCell ref="F7:G7"/>
    <mergeCell ref="B52:F52"/>
    <mergeCell ref="B56:F56"/>
    <mergeCell ref="B60:F60"/>
    <mergeCell ref="B64:F64"/>
    <mergeCell ref="G64:G65"/>
    <mergeCell ref="B65:F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E65" sqref="E65"/>
    </sheetView>
  </sheetViews>
  <sheetFormatPr defaultRowHeight="14.4" x14ac:dyDescent="0.3"/>
  <cols>
    <col min="1" max="1" width="7.5546875" style="70" bestFit="1" customWidth="1"/>
    <col min="2" max="2" width="39.6640625" style="71" customWidth="1"/>
    <col min="3" max="3" width="4.6640625" style="71" customWidth="1"/>
    <col min="4" max="4" width="7.109375" style="71" customWidth="1"/>
    <col min="5" max="5" width="11.33203125" style="72" customWidth="1"/>
    <col min="6" max="6" width="13.109375" style="72" customWidth="1"/>
    <col min="7" max="7" width="11.44140625" style="71" customWidth="1"/>
  </cols>
  <sheetData>
    <row r="1" spans="1:7" ht="8.1" customHeight="1" x14ac:dyDescent="0.3"/>
    <row r="2" spans="1:7" x14ac:dyDescent="0.3">
      <c r="A2" s="153" t="s">
        <v>11</v>
      </c>
      <c r="B2" s="153"/>
      <c r="C2" s="153"/>
      <c r="D2" s="153"/>
      <c r="E2" s="154"/>
      <c r="F2" s="155"/>
      <c r="G2" s="153"/>
    </row>
    <row r="3" spans="1:7" x14ac:dyDescent="0.3">
      <c r="A3" s="156" t="s">
        <v>12</v>
      </c>
      <c r="B3" s="153" t="s">
        <v>13</v>
      </c>
      <c r="C3" s="156"/>
      <c r="E3" s="157"/>
      <c r="F3" s="157"/>
      <c r="G3" s="156"/>
    </row>
    <row r="4" spans="1:7" x14ac:dyDescent="0.3">
      <c r="A4" s="156" t="s">
        <v>14</v>
      </c>
      <c r="B4" s="153"/>
      <c r="C4" s="156"/>
      <c r="D4" s="156"/>
      <c r="E4" s="154"/>
      <c r="F4" s="244"/>
      <c r="G4" s="244"/>
    </row>
    <row r="5" spans="1:7" x14ac:dyDescent="0.3">
      <c r="A5" s="156" t="s">
        <v>15</v>
      </c>
      <c r="B5" s="153" t="s">
        <v>97</v>
      </c>
      <c r="C5" s="156"/>
      <c r="D5" s="156"/>
      <c r="E5" s="154"/>
      <c r="F5" s="244" t="s">
        <v>17</v>
      </c>
      <c r="G5" s="244"/>
    </row>
    <row r="6" spans="1:7" ht="15" thickBot="1" x14ac:dyDescent="0.35">
      <c r="A6" s="156"/>
      <c r="B6" s="153"/>
      <c r="C6" s="156"/>
      <c r="D6" s="156"/>
      <c r="E6" s="158"/>
      <c r="F6" s="158"/>
      <c r="G6" s="156"/>
    </row>
    <row r="7" spans="1:7" ht="15" thickBot="1" x14ac:dyDescent="0.35">
      <c r="A7" s="245" t="s">
        <v>18</v>
      </c>
      <c r="B7" s="245" t="s">
        <v>19</v>
      </c>
      <c r="C7" s="245" t="s">
        <v>20</v>
      </c>
      <c r="D7" s="247" t="s">
        <v>21</v>
      </c>
      <c r="E7" s="249" t="s">
        <v>22</v>
      </c>
      <c r="F7" s="251" t="s">
        <v>23</v>
      </c>
      <c r="G7" s="252"/>
    </row>
    <row r="8" spans="1:7" ht="15" thickBot="1" x14ac:dyDescent="0.35">
      <c r="A8" s="246"/>
      <c r="B8" s="246" t="s">
        <v>24</v>
      </c>
      <c r="C8" s="246" t="s">
        <v>25</v>
      </c>
      <c r="D8" s="248" t="s">
        <v>26</v>
      </c>
      <c r="E8" s="250"/>
      <c r="F8" s="73" t="s">
        <v>27</v>
      </c>
      <c r="G8" s="74" t="s">
        <v>28</v>
      </c>
    </row>
    <row r="9" spans="1:7" ht="12" customHeight="1" x14ac:dyDescent="0.3">
      <c r="A9" s="253"/>
      <c r="B9" s="254"/>
      <c r="C9" s="254"/>
      <c r="D9" s="254"/>
      <c r="E9" s="254"/>
      <c r="F9" s="254"/>
      <c r="G9" s="255"/>
    </row>
    <row r="10" spans="1:7" x14ac:dyDescent="0.3">
      <c r="A10" s="159">
        <v>1</v>
      </c>
      <c r="B10" s="233" t="s">
        <v>29</v>
      </c>
      <c r="C10" s="234"/>
      <c r="D10" s="234"/>
      <c r="E10" s="234"/>
      <c r="F10" s="235"/>
      <c r="G10" s="75">
        <f>+SUM(F12:F12)</f>
        <v>0</v>
      </c>
    </row>
    <row r="11" spans="1:7" ht="6.9" customHeight="1" x14ac:dyDescent="0.3">
      <c r="A11" s="160"/>
      <c r="B11" s="161"/>
      <c r="C11" s="161"/>
      <c r="D11" s="161"/>
      <c r="E11" s="162"/>
      <c r="F11" s="162"/>
      <c r="G11" s="163"/>
    </row>
    <row r="12" spans="1:7" ht="39.6" x14ac:dyDescent="0.3">
      <c r="A12" s="76" t="s">
        <v>30</v>
      </c>
      <c r="B12" s="164" t="s">
        <v>31</v>
      </c>
      <c r="C12" s="77" t="s">
        <v>32</v>
      </c>
      <c r="D12" s="78">
        <f>35.19*0.15</f>
        <v>5.2784999999999993</v>
      </c>
      <c r="E12" s="79"/>
      <c r="F12" s="79">
        <f>+D12*E12</f>
        <v>0</v>
      </c>
      <c r="G12" s="80"/>
    </row>
    <row r="13" spans="1:7" x14ac:dyDescent="0.3">
      <c r="A13" s="76"/>
      <c r="B13" s="164"/>
      <c r="C13" s="77"/>
      <c r="D13" s="78"/>
      <c r="E13" s="79"/>
      <c r="F13" s="79"/>
      <c r="G13" s="80"/>
    </row>
    <row r="14" spans="1:7" x14ac:dyDescent="0.3">
      <c r="A14" s="159">
        <v>2</v>
      </c>
      <c r="B14" s="233" t="s">
        <v>98</v>
      </c>
      <c r="C14" s="234"/>
      <c r="D14" s="234"/>
      <c r="E14" s="234"/>
      <c r="F14" s="235"/>
      <c r="G14" s="75">
        <f>+SUM(F16)</f>
        <v>0</v>
      </c>
    </row>
    <row r="15" spans="1:7" x14ac:dyDescent="0.3">
      <c r="A15" s="76"/>
      <c r="B15" s="164"/>
      <c r="C15" s="77"/>
      <c r="D15" s="78"/>
      <c r="E15" s="79"/>
      <c r="F15" s="79"/>
      <c r="G15" s="80"/>
    </row>
    <row r="16" spans="1:7" ht="39.6" x14ac:dyDescent="0.3">
      <c r="A16" s="76" t="s">
        <v>37</v>
      </c>
      <c r="B16" s="164" t="s">
        <v>99</v>
      </c>
      <c r="C16" s="77" t="s">
        <v>32</v>
      </c>
      <c r="D16" s="78">
        <f>0.8*0.8*0.6*3</f>
        <v>1.1520000000000001</v>
      </c>
      <c r="E16" s="79"/>
      <c r="F16" s="79">
        <f t="shared" ref="F16" si="0">D16*E16</f>
        <v>0</v>
      </c>
      <c r="G16" s="80"/>
    </row>
    <row r="17" spans="1:7" x14ac:dyDescent="0.3">
      <c r="A17" s="76"/>
      <c r="B17" s="164"/>
      <c r="C17" s="77"/>
      <c r="D17" s="78"/>
      <c r="E17" s="79"/>
      <c r="F17" s="79"/>
      <c r="G17" s="80"/>
    </row>
    <row r="18" spans="1:7" x14ac:dyDescent="0.3">
      <c r="A18" s="159">
        <v>3</v>
      </c>
      <c r="B18" s="233" t="s">
        <v>41</v>
      </c>
      <c r="C18" s="234"/>
      <c r="D18" s="234"/>
      <c r="E18" s="234"/>
      <c r="F18" s="235"/>
      <c r="G18" s="75">
        <f>SUM(F20:F25)</f>
        <v>0</v>
      </c>
    </row>
    <row r="19" spans="1:7" x14ac:dyDescent="0.3">
      <c r="A19" s="160"/>
      <c r="B19" s="161"/>
      <c r="C19" s="161"/>
      <c r="D19" s="161"/>
      <c r="E19" s="162"/>
      <c r="F19" s="162"/>
      <c r="G19" s="163"/>
    </row>
    <row r="20" spans="1:7" ht="52.8" x14ac:dyDescent="0.3">
      <c r="A20" s="76" t="s">
        <v>42</v>
      </c>
      <c r="B20" s="175" t="s">
        <v>100</v>
      </c>
      <c r="C20" s="77" t="s">
        <v>35</v>
      </c>
      <c r="D20" s="78">
        <f>0.8*0.8*0.1*3</f>
        <v>0.19200000000000006</v>
      </c>
      <c r="E20" s="162"/>
      <c r="F20" s="79">
        <f t="shared" ref="F20:F25" si="1">D20*E20</f>
        <v>0</v>
      </c>
      <c r="G20" s="163"/>
    </row>
    <row r="21" spans="1:7" ht="92.4" x14ac:dyDescent="0.3">
      <c r="A21" s="76" t="s">
        <v>101</v>
      </c>
      <c r="B21" s="175" t="s">
        <v>43</v>
      </c>
      <c r="C21" s="176"/>
      <c r="D21" s="78"/>
      <c r="E21" s="79"/>
      <c r="F21" s="79"/>
      <c r="G21" s="81"/>
    </row>
    <row r="22" spans="1:7" ht="15.6" x14ac:dyDescent="0.3">
      <c r="A22" s="76" t="s">
        <v>102</v>
      </c>
      <c r="B22" s="175" t="s">
        <v>103</v>
      </c>
      <c r="C22" s="77" t="s">
        <v>32</v>
      </c>
      <c r="D22" s="78">
        <f>0.5*0.5*0.4*3</f>
        <v>0.30000000000000004</v>
      </c>
      <c r="E22" s="79"/>
      <c r="F22" s="79">
        <f t="shared" si="1"/>
        <v>0</v>
      </c>
      <c r="G22" s="81"/>
    </row>
    <row r="23" spans="1:7" ht="15.6" x14ac:dyDescent="0.3">
      <c r="A23" s="76" t="s">
        <v>104</v>
      </c>
      <c r="B23" s="175" t="s">
        <v>105</v>
      </c>
      <c r="C23" s="77" t="s">
        <v>32</v>
      </c>
      <c r="D23" s="78">
        <f>0.2*0.2*3*3</f>
        <v>0.3600000000000001</v>
      </c>
      <c r="E23" s="79"/>
      <c r="F23" s="79">
        <f t="shared" si="1"/>
        <v>0</v>
      </c>
      <c r="G23" s="81"/>
    </row>
    <row r="24" spans="1:7" ht="15.6" x14ac:dyDescent="0.3">
      <c r="A24" s="76" t="s">
        <v>106</v>
      </c>
      <c r="B24" s="175" t="s">
        <v>45</v>
      </c>
      <c r="C24" s="77" t="s">
        <v>32</v>
      </c>
      <c r="D24" s="78">
        <f>0.2*0.4*4.09*4+0.2*0.4*8.7*3+0.2*0.4*1.43+0.2*0.4*2.33</f>
        <v>3.6976</v>
      </c>
      <c r="E24" s="79"/>
      <c r="F24" s="79">
        <f t="shared" si="1"/>
        <v>0</v>
      </c>
      <c r="G24" s="81"/>
    </row>
    <row r="25" spans="1:7" ht="15.6" x14ac:dyDescent="0.3">
      <c r="A25" s="76" t="s">
        <v>107</v>
      </c>
      <c r="B25" s="175" t="s">
        <v>47</v>
      </c>
      <c r="C25" s="77" t="s">
        <v>32</v>
      </c>
      <c r="D25" s="78">
        <f>43.61*0.15</f>
        <v>6.5415000000000001</v>
      </c>
      <c r="E25" s="79"/>
      <c r="F25" s="79">
        <f t="shared" si="1"/>
        <v>0</v>
      </c>
      <c r="G25" s="81"/>
    </row>
    <row r="26" spans="1:7" x14ac:dyDescent="0.3">
      <c r="A26" s="76"/>
      <c r="B26" s="175"/>
      <c r="C26" s="77"/>
      <c r="D26" s="78"/>
      <c r="E26" s="79"/>
      <c r="F26" s="79"/>
      <c r="G26" s="81"/>
    </row>
    <row r="27" spans="1:7" x14ac:dyDescent="0.3">
      <c r="A27" s="159">
        <v>4</v>
      </c>
      <c r="B27" s="233" t="s">
        <v>108</v>
      </c>
      <c r="C27" s="234"/>
      <c r="D27" s="234"/>
      <c r="E27" s="234"/>
      <c r="F27" s="235"/>
      <c r="G27" s="75">
        <f>+F29</f>
        <v>0</v>
      </c>
    </row>
    <row r="28" spans="1:7" x14ac:dyDescent="0.3">
      <c r="A28" s="76"/>
      <c r="B28" s="175"/>
      <c r="C28" s="77"/>
      <c r="D28" s="78"/>
      <c r="E28" s="79"/>
      <c r="F28" s="79"/>
      <c r="G28" s="81"/>
    </row>
    <row r="29" spans="1:7" ht="81.599999999999994" x14ac:dyDescent="0.3">
      <c r="A29" s="76" t="s">
        <v>49</v>
      </c>
      <c r="B29" s="83" t="s">
        <v>40</v>
      </c>
      <c r="C29" s="77" t="s">
        <v>35</v>
      </c>
      <c r="D29" s="78">
        <v>7</v>
      </c>
      <c r="E29" s="79"/>
      <c r="F29" s="79">
        <f>+D29*E29</f>
        <v>0</v>
      </c>
      <c r="G29" s="81"/>
    </row>
    <row r="30" spans="1:7" ht="6.9" customHeight="1" x14ac:dyDescent="0.3">
      <c r="A30" s="165"/>
      <c r="B30" s="177"/>
      <c r="C30" s="177"/>
      <c r="D30" s="177"/>
      <c r="E30" s="178"/>
      <c r="F30" s="178"/>
      <c r="G30" s="179"/>
    </row>
    <row r="31" spans="1:7" x14ac:dyDescent="0.3">
      <c r="A31" s="159">
        <v>5</v>
      </c>
      <c r="B31" s="233" t="s">
        <v>109</v>
      </c>
      <c r="C31" s="234"/>
      <c r="D31" s="234"/>
      <c r="E31" s="234"/>
      <c r="F31" s="235"/>
      <c r="G31" s="75">
        <f>SUM(F33:F36)</f>
        <v>0</v>
      </c>
    </row>
    <row r="32" spans="1:7" x14ac:dyDescent="0.3">
      <c r="A32" s="82"/>
      <c r="B32" s="83"/>
      <c r="C32" s="77"/>
      <c r="D32" s="78"/>
      <c r="E32" s="79"/>
      <c r="F32" s="79"/>
      <c r="G32" s="81"/>
    </row>
    <row r="33" spans="1:7" ht="66" x14ac:dyDescent="0.3">
      <c r="A33" s="82" t="s">
        <v>58</v>
      </c>
      <c r="B33" s="83" t="s">
        <v>50</v>
      </c>
      <c r="C33" s="77" t="s">
        <v>35</v>
      </c>
      <c r="D33" s="78">
        <f>+(4.09+1.91*2+1.43+2.33+1.17+1.04+4.76+2.9)*2.85</f>
        <v>61.389000000000003</v>
      </c>
      <c r="E33" s="79"/>
      <c r="F33" s="79">
        <f>+D33*E33</f>
        <v>0</v>
      </c>
      <c r="G33" s="81"/>
    </row>
    <row r="34" spans="1:7" ht="26.4" x14ac:dyDescent="0.3">
      <c r="A34" s="82" t="s">
        <v>62</v>
      </c>
      <c r="B34" s="84" t="s">
        <v>52</v>
      </c>
      <c r="C34" s="77" t="s">
        <v>35</v>
      </c>
      <c r="D34" s="78">
        <f>+(3.69+3.3+1.98*2+0.89*2+1.12+1.05)*2.85+D33</f>
        <v>103.854</v>
      </c>
      <c r="E34" s="79"/>
      <c r="F34" s="79">
        <f>+D34*E34</f>
        <v>0</v>
      </c>
      <c r="G34" s="81"/>
    </row>
    <row r="35" spans="1:7" ht="46.8" customHeight="1" x14ac:dyDescent="0.3">
      <c r="A35" s="82" t="s">
        <v>64</v>
      </c>
      <c r="B35" s="84" t="s">
        <v>54</v>
      </c>
      <c r="C35" s="77" t="s">
        <v>35</v>
      </c>
      <c r="D35" s="78">
        <v>34.619999999999997</v>
      </c>
      <c r="E35" s="79"/>
      <c r="F35" s="79">
        <f>+D35*E35</f>
        <v>0</v>
      </c>
      <c r="G35" s="81"/>
    </row>
    <row r="36" spans="1:7" ht="52.8" x14ac:dyDescent="0.3">
      <c r="A36" s="82" t="s">
        <v>110</v>
      </c>
      <c r="B36" s="83" t="s">
        <v>56</v>
      </c>
      <c r="C36" s="77" t="s">
        <v>35</v>
      </c>
      <c r="D36" s="78">
        <v>2.37</v>
      </c>
      <c r="E36" s="79"/>
      <c r="F36" s="79">
        <f>+D36*E36</f>
        <v>0</v>
      </c>
      <c r="G36" s="81"/>
    </row>
    <row r="37" spans="1:7" x14ac:dyDescent="0.3">
      <c r="A37" s="122"/>
      <c r="B37" s="84"/>
      <c r="C37" s="126"/>
      <c r="D37" s="123"/>
      <c r="E37" s="124"/>
      <c r="F37" s="173"/>
      <c r="G37" s="125"/>
    </row>
    <row r="38" spans="1:7" x14ac:dyDescent="0.3">
      <c r="A38" s="159">
        <v>6</v>
      </c>
      <c r="B38" s="233" t="s">
        <v>111</v>
      </c>
      <c r="C38" s="234"/>
      <c r="D38" s="234"/>
      <c r="E38" s="234"/>
      <c r="F38" s="235"/>
      <c r="G38" s="75">
        <f>+SUM(F40:F43)</f>
        <v>0</v>
      </c>
    </row>
    <row r="39" spans="1:7" x14ac:dyDescent="0.3">
      <c r="A39" s="82"/>
      <c r="B39" s="83"/>
      <c r="C39" s="180"/>
      <c r="D39" s="78"/>
      <c r="E39" s="79"/>
      <c r="F39" s="79"/>
      <c r="G39" s="81"/>
    </row>
    <row r="40" spans="1:7" ht="9.75" customHeight="1" x14ac:dyDescent="0.3">
      <c r="A40" s="82" t="s">
        <v>67</v>
      </c>
      <c r="B40" s="85" t="s">
        <v>59</v>
      </c>
      <c r="C40" s="180"/>
      <c r="D40" s="78"/>
      <c r="E40" s="79"/>
      <c r="F40" s="79"/>
      <c r="G40" s="81"/>
    </row>
    <row r="41" spans="1:7" ht="66" x14ac:dyDescent="0.3">
      <c r="A41" s="82" t="s">
        <v>112</v>
      </c>
      <c r="B41" s="83" t="s">
        <v>60</v>
      </c>
      <c r="C41" s="77" t="s">
        <v>61</v>
      </c>
      <c r="D41" s="78">
        <v>1</v>
      </c>
      <c r="E41" s="79"/>
      <c r="F41" s="79"/>
      <c r="G41" s="81"/>
    </row>
    <row r="42" spans="1:7" ht="66" x14ac:dyDescent="0.3">
      <c r="A42" s="82" t="s">
        <v>113</v>
      </c>
      <c r="B42" s="83" t="s">
        <v>63</v>
      </c>
      <c r="C42" s="77" t="s">
        <v>61</v>
      </c>
      <c r="D42" s="78">
        <v>1</v>
      </c>
      <c r="E42" s="79"/>
      <c r="F42" s="79"/>
      <c r="G42" s="81"/>
    </row>
    <row r="43" spans="1:7" ht="66" x14ac:dyDescent="0.3">
      <c r="A43" s="82" t="s">
        <v>114</v>
      </c>
      <c r="B43" s="83" t="s">
        <v>65</v>
      </c>
      <c r="C43" s="77" t="s">
        <v>61</v>
      </c>
      <c r="D43" s="78">
        <v>1</v>
      </c>
      <c r="E43" s="79"/>
      <c r="F43" s="79"/>
      <c r="G43" s="81"/>
    </row>
    <row r="44" spans="1:7" x14ac:dyDescent="0.3">
      <c r="A44" s="82"/>
      <c r="B44" s="83"/>
      <c r="C44" s="77"/>
      <c r="D44" s="78"/>
      <c r="E44" s="79"/>
      <c r="F44" s="79"/>
      <c r="G44" s="81"/>
    </row>
    <row r="45" spans="1:7" x14ac:dyDescent="0.3">
      <c r="A45" s="159">
        <v>7</v>
      </c>
      <c r="B45" s="233" t="s">
        <v>115</v>
      </c>
      <c r="C45" s="234"/>
      <c r="D45" s="234"/>
      <c r="E45" s="234"/>
      <c r="F45" s="235"/>
      <c r="G45" s="75">
        <f>+SUM(F47)</f>
        <v>0</v>
      </c>
    </row>
    <row r="46" spans="1:7" x14ac:dyDescent="0.3">
      <c r="A46" s="82"/>
      <c r="B46" s="83"/>
      <c r="C46" s="180"/>
      <c r="D46" s="78"/>
      <c r="E46" s="79"/>
      <c r="F46" s="79"/>
      <c r="G46" s="81"/>
    </row>
    <row r="47" spans="1:7" ht="52.8" x14ac:dyDescent="0.3">
      <c r="A47" s="82" t="s">
        <v>70</v>
      </c>
      <c r="B47" s="83" t="s">
        <v>68</v>
      </c>
      <c r="C47" s="77" t="s">
        <v>61</v>
      </c>
      <c r="D47" s="78">
        <v>1</v>
      </c>
      <c r="E47" s="79"/>
      <c r="F47" s="79">
        <f t="shared" ref="F47" si="2">D47*E47</f>
        <v>0</v>
      </c>
      <c r="G47" s="81"/>
    </row>
    <row r="48" spans="1:7" x14ac:dyDescent="0.3">
      <c r="A48" s="82"/>
      <c r="B48" s="83"/>
      <c r="C48" s="77"/>
      <c r="D48" s="78"/>
      <c r="E48" s="79"/>
      <c r="F48" s="79"/>
      <c r="G48" s="81"/>
    </row>
    <row r="49" spans="1:7" x14ac:dyDescent="0.3">
      <c r="A49" s="159" t="s">
        <v>74</v>
      </c>
      <c r="B49" s="233" t="s">
        <v>116</v>
      </c>
      <c r="C49" s="234"/>
      <c r="D49" s="234"/>
      <c r="E49" s="234"/>
      <c r="F49" s="235"/>
      <c r="G49" s="75">
        <f>SUM(F51:F51)</f>
        <v>0</v>
      </c>
    </row>
    <row r="50" spans="1:7" x14ac:dyDescent="0.3">
      <c r="A50" s="122"/>
      <c r="B50" s="84"/>
      <c r="C50" s="181"/>
      <c r="D50" s="123"/>
      <c r="E50" s="124"/>
      <c r="F50" s="173"/>
      <c r="G50" s="125"/>
    </row>
    <row r="51" spans="1:7" ht="52.8" x14ac:dyDescent="0.3">
      <c r="A51" s="122" t="s">
        <v>74</v>
      </c>
      <c r="B51" s="84" t="s">
        <v>71</v>
      </c>
      <c r="C51" s="83" t="s">
        <v>117</v>
      </c>
      <c r="D51" s="78">
        <v>1</v>
      </c>
      <c r="E51" s="124"/>
      <c r="F51" s="173">
        <f>+D51*E51</f>
        <v>0</v>
      </c>
      <c r="G51" s="125"/>
    </row>
    <row r="52" spans="1:7" ht="6.9" customHeight="1" x14ac:dyDescent="0.3">
      <c r="A52" s="82"/>
      <c r="B52" s="83"/>
      <c r="C52" s="77"/>
      <c r="D52" s="78"/>
      <c r="E52" s="79"/>
      <c r="F52" s="79"/>
      <c r="G52" s="81"/>
    </row>
    <row r="53" spans="1:7" x14ac:dyDescent="0.3">
      <c r="A53" s="159">
        <v>9</v>
      </c>
      <c r="B53" s="233" t="s">
        <v>118</v>
      </c>
      <c r="C53" s="234"/>
      <c r="D53" s="234"/>
      <c r="E53" s="234"/>
      <c r="F53" s="235"/>
      <c r="G53" s="75">
        <f>SUM(F55:F55)</f>
        <v>0</v>
      </c>
    </row>
    <row r="54" spans="1:7" ht="6.9" customHeight="1" x14ac:dyDescent="0.3">
      <c r="A54" s="122"/>
      <c r="B54" s="84"/>
      <c r="C54" s="181"/>
      <c r="D54" s="123"/>
      <c r="E54" s="124"/>
      <c r="F54" s="173"/>
      <c r="G54" s="125"/>
    </row>
    <row r="55" spans="1:7" ht="66" x14ac:dyDescent="0.3">
      <c r="A55" s="122" t="s">
        <v>79</v>
      </c>
      <c r="B55" s="84" t="s">
        <v>75</v>
      </c>
      <c r="C55" s="181" t="s">
        <v>61</v>
      </c>
      <c r="D55" s="123">
        <v>1</v>
      </c>
      <c r="E55" s="124"/>
      <c r="F55" s="173">
        <f>+D55*E55</f>
        <v>0</v>
      </c>
      <c r="G55" s="125"/>
    </row>
    <row r="56" spans="1:7" x14ac:dyDescent="0.3">
      <c r="A56" s="82"/>
      <c r="B56" s="83"/>
      <c r="C56" s="180"/>
      <c r="D56" s="78"/>
      <c r="E56" s="79"/>
      <c r="F56" s="79"/>
      <c r="G56" s="81"/>
    </row>
    <row r="57" spans="1:7" x14ac:dyDescent="0.3">
      <c r="A57" s="159">
        <v>10</v>
      </c>
      <c r="B57" s="233" t="s">
        <v>119</v>
      </c>
      <c r="C57" s="234"/>
      <c r="D57" s="234"/>
      <c r="E57" s="234"/>
      <c r="F57" s="235"/>
      <c r="G57" s="75">
        <f>+F59</f>
        <v>0</v>
      </c>
    </row>
    <row r="58" spans="1:7" x14ac:dyDescent="0.3">
      <c r="A58" s="82"/>
      <c r="B58" s="83"/>
      <c r="C58" s="77"/>
      <c r="D58" s="78"/>
      <c r="E58" s="79"/>
      <c r="F58" s="79"/>
      <c r="G58" s="81"/>
    </row>
    <row r="59" spans="1:7" ht="67.2" x14ac:dyDescent="0.3">
      <c r="A59" s="82" t="s">
        <v>120</v>
      </c>
      <c r="B59" s="83" t="s">
        <v>80</v>
      </c>
      <c r="C59" s="77" t="s">
        <v>61</v>
      </c>
      <c r="D59" s="78">
        <v>1</v>
      </c>
      <c r="E59" s="79"/>
      <c r="F59" s="79">
        <f>+D59*E59</f>
        <v>0</v>
      </c>
      <c r="G59" s="81"/>
    </row>
    <row r="60" spans="1:7" ht="15" thickBot="1" x14ac:dyDescent="0.35">
      <c r="A60" s="82"/>
      <c r="B60" s="86"/>
      <c r="C60" s="77"/>
      <c r="D60" s="87"/>
      <c r="E60" s="79"/>
      <c r="F60" s="79"/>
      <c r="G60" s="81"/>
    </row>
    <row r="61" spans="1:7" x14ac:dyDescent="0.3">
      <c r="A61" s="88"/>
      <c r="B61" s="236"/>
      <c r="C61" s="237"/>
      <c r="D61" s="237"/>
      <c r="E61" s="237"/>
      <c r="F61" s="238"/>
      <c r="G61" s="239">
        <f>+SUM(G10:G60)</f>
        <v>0</v>
      </c>
    </row>
    <row r="62" spans="1:7" ht="15" thickBot="1" x14ac:dyDescent="0.35">
      <c r="A62" s="89"/>
      <c r="B62" s="241" t="s">
        <v>81</v>
      </c>
      <c r="C62" s="242"/>
      <c r="D62" s="242"/>
      <c r="E62" s="242"/>
      <c r="F62" s="243"/>
      <c r="G62" s="240"/>
    </row>
  </sheetData>
  <mergeCells count="22">
    <mergeCell ref="F4:G4"/>
    <mergeCell ref="F5:G5"/>
    <mergeCell ref="A7:A8"/>
    <mergeCell ref="B7:B8"/>
    <mergeCell ref="C7:C8"/>
    <mergeCell ref="D7:D8"/>
    <mergeCell ref="E7:E8"/>
    <mergeCell ref="F7:G7"/>
    <mergeCell ref="B61:F61"/>
    <mergeCell ref="G61:G62"/>
    <mergeCell ref="B62:F62"/>
    <mergeCell ref="A9:G9"/>
    <mergeCell ref="B10:F10"/>
    <mergeCell ref="B14:F14"/>
    <mergeCell ref="B18:F18"/>
    <mergeCell ref="B27:F27"/>
    <mergeCell ref="B45:F45"/>
    <mergeCell ref="B49:F49"/>
    <mergeCell ref="B31:F31"/>
    <mergeCell ref="B38:F38"/>
    <mergeCell ref="B53:F53"/>
    <mergeCell ref="B57:F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E49" sqref="E49"/>
    </sheetView>
  </sheetViews>
  <sheetFormatPr defaultRowHeight="14.4" x14ac:dyDescent="0.3"/>
  <cols>
    <col min="1" max="1" width="7.5546875" style="70" bestFit="1" customWidth="1"/>
    <col min="2" max="2" width="39.6640625" style="71" customWidth="1"/>
    <col min="3" max="3" width="4.6640625" style="71" customWidth="1"/>
    <col min="4" max="4" width="6.5546875" style="71" customWidth="1"/>
    <col min="5" max="5" width="11.33203125" style="72" customWidth="1"/>
    <col min="6" max="6" width="13.109375" style="72" customWidth="1"/>
    <col min="7" max="7" width="11.44140625" style="71" customWidth="1"/>
  </cols>
  <sheetData>
    <row r="1" spans="1:7" ht="8.1" customHeight="1" x14ac:dyDescent="0.3"/>
    <row r="2" spans="1:7" x14ac:dyDescent="0.3">
      <c r="A2" s="153" t="s">
        <v>11</v>
      </c>
      <c r="B2" s="153"/>
      <c r="C2" s="153"/>
      <c r="D2" s="153"/>
      <c r="E2" s="154"/>
      <c r="F2" s="155"/>
      <c r="G2" s="153"/>
    </row>
    <row r="3" spans="1:7" x14ac:dyDescent="0.3">
      <c r="A3" s="156" t="s">
        <v>12</v>
      </c>
      <c r="B3" s="153" t="s">
        <v>13</v>
      </c>
      <c r="C3" s="156"/>
      <c r="E3" s="157"/>
      <c r="F3" s="157"/>
      <c r="G3" s="156"/>
    </row>
    <row r="4" spans="1:7" x14ac:dyDescent="0.3">
      <c r="A4" s="156" t="s">
        <v>14</v>
      </c>
      <c r="B4" s="153"/>
      <c r="C4" s="156"/>
      <c r="D4" s="156"/>
      <c r="E4" s="154"/>
      <c r="F4" s="244"/>
      <c r="G4" s="244"/>
    </row>
    <row r="5" spans="1:7" x14ac:dyDescent="0.3">
      <c r="A5" s="156" t="s">
        <v>15</v>
      </c>
      <c r="B5" s="153" t="s">
        <v>89</v>
      </c>
      <c r="C5" s="156"/>
      <c r="D5" s="156"/>
      <c r="E5" s="154"/>
      <c r="F5" s="244" t="s">
        <v>17</v>
      </c>
      <c r="G5" s="244"/>
    </row>
    <row r="6" spans="1:7" ht="15" thickBot="1" x14ac:dyDescent="0.35">
      <c r="A6" s="156"/>
      <c r="B6" s="153"/>
      <c r="C6" s="156"/>
      <c r="D6" s="156"/>
      <c r="E6" s="158"/>
      <c r="F6" s="158"/>
      <c r="G6" s="156"/>
    </row>
    <row r="7" spans="1:7" ht="15" thickBot="1" x14ac:dyDescent="0.35">
      <c r="A7" s="245" t="s">
        <v>18</v>
      </c>
      <c r="B7" s="245" t="s">
        <v>19</v>
      </c>
      <c r="C7" s="245" t="s">
        <v>20</v>
      </c>
      <c r="D7" s="247" t="s">
        <v>21</v>
      </c>
      <c r="E7" s="249" t="s">
        <v>22</v>
      </c>
      <c r="F7" s="251" t="s">
        <v>23</v>
      </c>
      <c r="G7" s="252"/>
    </row>
    <row r="8" spans="1:7" ht="15" thickBot="1" x14ac:dyDescent="0.35">
      <c r="A8" s="246"/>
      <c r="B8" s="246" t="s">
        <v>24</v>
      </c>
      <c r="C8" s="246" t="s">
        <v>25</v>
      </c>
      <c r="D8" s="248" t="s">
        <v>26</v>
      </c>
      <c r="E8" s="250"/>
      <c r="F8" s="73" t="s">
        <v>27</v>
      </c>
      <c r="G8" s="74" t="s">
        <v>28</v>
      </c>
    </row>
    <row r="9" spans="1:7" ht="12" customHeight="1" x14ac:dyDescent="0.3">
      <c r="A9" s="253"/>
      <c r="B9" s="254"/>
      <c r="C9" s="254"/>
      <c r="D9" s="254"/>
      <c r="E9" s="254"/>
      <c r="F9" s="254"/>
      <c r="G9" s="255"/>
    </row>
    <row r="10" spans="1:7" x14ac:dyDescent="0.3">
      <c r="A10" s="159">
        <v>1</v>
      </c>
      <c r="B10" s="233" t="s">
        <v>29</v>
      </c>
      <c r="C10" s="234"/>
      <c r="D10" s="234"/>
      <c r="E10" s="234"/>
      <c r="F10" s="235"/>
      <c r="G10" s="75">
        <f>+SUM(F12:F12)</f>
        <v>0</v>
      </c>
    </row>
    <row r="11" spans="1:7" ht="6.9" customHeight="1" x14ac:dyDescent="0.3">
      <c r="A11" s="160"/>
      <c r="B11" s="161"/>
      <c r="C11" s="161"/>
      <c r="D11" s="161"/>
      <c r="E11" s="162"/>
      <c r="F11" s="162"/>
      <c r="G11" s="163"/>
    </row>
    <row r="12" spans="1:7" ht="39.6" x14ac:dyDescent="0.3">
      <c r="A12" s="76" t="s">
        <v>30</v>
      </c>
      <c r="B12" s="164" t="s">
        <v>31</v>
      </c>
      <c r="C12" s="77" t="s">
        <v>32</v>
      </c>
      <c r="D12" s="78">
        <f>(34.71+1.75)*0.15</f>
        <v>5.4690000000000003</v>
      </c>
      <c r="E12" s="79"/>
      <c r="F12" s="79">
        <f>+D12*E12</f>
        <v>0</v>
      </c>
      <c r="G12" s="80"/>
    </row>
    <row r="13" spans="1:7" x14ac:dyDescent="0.3">
      <c r="A13" s="76"/>
      <c r="B13" s="164"/>
      <c r="C13" s="77"/>
      <c r="D13" s="78"/>
      <c r="E13" s="79"/>
      <c r="F13" s="79"/>
      <c r="G13" s="80"/>
    </row>
    <row r="14" spans="1:7" x14ac:dyDescent="0.3">
      <c r="A14" s="159">
        <v>2</v>
      </c>
      <c r="B14" s="233" t="s">
        <v>90</v>
      </c>
      <c r="C14" s="234"/>
      <c r="D14" s="234"/>
      <c r="E14" s="234"/>
      <c r="F14" s="235"/>
      <c r="G14" s="75">
        <f>SUM(F16:F18)</f>
        <v>0</v>
      </c>
    </row>
    <row r="15" spans="1:7" x14ac:dyDescent="0.3">
      <c r="A15" s="160"/>
      <c r="B15" s="161"/>
      <c r="C15" s="161"/>
      <c r="D15" s="161"/>
      <c r="E15" s="162"/>
      <c r="F15" s="162"/>
      <c r="G15" s="163"/>
    </row>
    <row r="16" spans="1:7" ht="92.4" x14ac:dyDescent="0.3">
      <c r="A16" s="76" t="s">
        <v>37</v>
      </c>
      <c r="B16" s="175" t="s">
        <v>43</v>
      </c>
      <c r="C16" s="176"/>
      <c r="D16" s="78"/>
      <c r="E16" s="79"/>
      <c r="F16" s="79"/>
      <c r="G16" s="81"/>
    </row>
    <row r="17" spans="1:7" ht="15.6" x14ac:dyDescent="0.3">
      <c r="A17" s="76" t="s">
        <v>91</v>
      </c>
      <c r="B17" s="175" t="s">
        <v>45</v>
      </c>
      <c r="C17" s="77" t="s">
        <v>32</v>
      </c>
      <c r="D17" s="79">
        <f>0.2*0.4*3.9*4+0.2*0.4*8.9*2</f>
        <v>2.6720000000000006</v>
      </c>
      <c r="E17" s="79"/>
      <c r="F17" s="79">
        <f t="shared" ref="F17:F18" si="0">D17*E17</f>
        <v>0</v>
      </c>
      <c r="G17" s="81"/>
    </row>
    <row r="18" spans="1:7" ht="15.6" x14ac:dyDescent="0.3">
      <c r="A18" s="76" t="s">
        <v>92</v>
      </c>
      <c r="B18" s="175" t="s">
        <v>47</v>
      </c>
      <c r="C18" s="77" t="s">
        <v>32</v>
      </c>
      <c r="D18" s="78">
        <f>29.75*0.15</f>
        <v>4.4624999999999995</v>
      </c>
      <c r="E18" s="79"/>
      <c r="F18" s="79">
        <f t="shared" si="0"/>
        <v>0</v>
      </c>
      <c r="G18" s="81"/>
    </row>
    <row r="19" spans="1:7" ht="6.9" customHeight="1" x14ac:dyDescent="0.3">
      <c r="A19" s="76"/>
      <c r="B19" s="175"/>
      <c r="C19" s="77"/>
      <c r="D19" s="78"/>
      <c r="E19" s="79"/>
      <c r="F19" s="79"/>
      <c r="G19" s="81"/>
    </row>
    <row r="20" spans="1:7" x14ac:dyDescent="0.3">
      <c r="A20" s="159">
        <v>3</v>
      </c>
      <c r="B20" s="233" t="s">
        <v>93</v>
      </c>
      <c r="C20" s="234"/>
      <c r="D20" s="234"/>
      <c r="E20" s="234"/>
      <c r="F20" s="235"/>
      <c r="G20" s="75">
        <f>+F22</f>
        <v>0</v>
      </c>
    </row>
    <row r="21" spans="1:7" x14ac:dyDescent="0.3">
      <c r="A21" s="76"/>
      <c r="B21" s="175"/>
      <c r="C21" s="77"/>
      <c r="D21" s="78"/>
      <c r="E21" s="79"/>
      <c r="F21" s="79"/>
      <c r="G21" s="81"/>
    </row>
    <row r="22" spans="1:7" ht="81.599999999999994" x14ac:dyDescent="0.3">
      <c r="A22" s="76" t="s">
        <v>42</v>
      </c>
      <c r="B22" s="83" t="s">
        <v>40</v>
      </c>
      <c r="C22" s="77" t="s">
        <v>35</v>
      </c>
      <c r="D22" s="78">
        <v>5.6</v>
      </c>
      <c r="E22" s="79"/>
      <c r="F22" s="79">
        <f>+D22*E22</f>
        <v>0</v>
      </c>
      <c r="G22" s="81"/>
    </row>
    <row r="23" spans="1:7" x14ac:dyDescent="0.3">
      <c r="A23" s="165"/>
      <c r="B23" s="177"/>
      <c r="C23" s="177"/>
      <c r="D23" s="177"/>
      <c r="E23" s="178"/>
      <c r="F23" s="178"/>
      <c r="G23" s="179"/>
    </row>
    <row r="24" spans="1:7" x14ac:dyDescent="0.3">
      <c r="A24" s="159">
        <v>4</v>
      </c>
      <c r="B24" s="233" t="s">
        <v>48</v>
      </c>
      <c r="C24" s="234"/>
      <c r="D24" s="234"/>
      <c r="E24" s="234"/>
      <c r="F24" s="235"/>
      <c r="G24" s="75">
        <f>SUM(F26:F28)</f>
        <v>0</v>
      </c>
    </row>
    <row r="25" spans="1:7" x14ac:dyDescent="0.3">
      <c r="A25" s="82"/>
      <c r="B25" s="83"/>
      <c r="C25" s="77"/>
      <c r="D25" s="78"/>
      <c r="E25" s="79"/>
      <c r="F25" s="79"/>
      <c r="G25" s="81"/>
    </row>
    <row r="26" spans="1:7" ht="66" x14ac:dyDescent="0.3">
      <c r="A26" s="82" t="s">
        <v>49</v>
      </c>
      <c r="B26" s="83" t="s">
        <v>50</v>
      </c>
      <c r="C26" s="77" t="s">
        <v>35</v>
      </c>
      <c r="D26" s="78">
        <f>1.88*2*2.85+2.08*2*2.85+3*1.2+8.23*2.85+1.4*2.85+2.2*2.85</f>
        <v>59.88750000000001</v>
      </c>
      <c r="E26" s="79"/>
      <c r="F26" s="79">
        <f>+D26*E26</f>
        <v>0</v>
      </c>
      <c r="G26" s="81"/>
    </row>
    <row r="27" spans="1:7" ht="6.9" customHeight="1" x14ac:dyDescent="0.3">
      <c r="A27" s="82" t="s">
        <v>51</v>
      </c>
      <c r="B27" s="84" t="s">
        <v>52</v>
      </c>
      <c r="C27" s="77" t="s">
        <v>35</v>
      </c>
      <c r="D27" s="78">
        <f>D26+22.24*2.85</f>
        <v>123.2715</v>
      </c>
      <c r="E27" s="79"/>
      <c r="F27" s="79">
        <f>+D27*E27</f>
        <v>0</v>
      </c>
      <c r="G27" s="81"/>
    </row>
    <row r="28" spans="1:7" ht="26.4" x14ac:dyDescent="0.3">
      <c r="A28" s="82" t="s">
        <v>53</v>
      </c>
      <c r="B28" s="84" t="s">
        <v>54</v>
      </c>
      <c r="C28" s="77" t="s">
        <v>35</v>
      </c>
      <c r="D28" s="78">
        <f>29.75+6.66+7.83+3.03</f>
        <v>47.269999999999996</v>
      </c>
      <c r="E28" s="79"/>
      <c r="F28" s="79">
        <f>+D28*E28</f>
        <v>0</v>
      </c>
      <c r="G28" s="81"/>
    </row>
    <row r="29" spans="1:7" x14ac:dyDescent="0.3">
      <c r="A29" s="82"/>
      <c r="B29" s="83"/>
      <c r="C29" s="77"/>
      <c r="D29" s="78"/>
      <c r="E29" s="79"/>
      <c r="F29" s="79"/>
      <c r="G29" s="81"/>
    </row>
    <row r="30" spans="1:7" x14ac:dyDescent="0.3">
      <c r="A30" s="159">
        <v>5</v>
      </c>
      <c r="B30" s="233" t="s">
        <v>57</v>
      </c>
      <c r="C30" s="234"/>
      <c r="D30" s="234"/>
      <c r="E30" s="234"/>
      <c r="F30" s="235"/>
      <c r="G30" s="75">
        <f>+SUM(F33:F35)</f>
        <v>0</v>
      </c>
    </row>
    <row r="31" spans="1:7" x14ac:dyDescent="0.3">
      <c r="A31" s="82"/>
      <c r="B31" s="83"/>
      <c r="C31" s="180"/>
      <c r="D31" s="78"/>
      <c r="E31" s="79"/>
      <c r="F31" s="79"/>
      <c r="G31" s="81"/>
    </row>
    <row r="32" spans="1:7" ht="6.9" customHeight="1" x14ac:dyDescent="0.3">
      <c r="A32" s="82" t="s">
        <v>58</v>
      </c>
      <c r="B32" s="85" t="s">
        <v>59</v>
      </c>
      <c r="C32" s="180"/>
      <c r="D32" s="78"/>
      <c r="E32" s="79"/>
      <c r="F32" s="79"/>
      <c r="G32" s="81"/>
    </row>
    <row r="33" spans="1:7" ht="66" x14ac:dyDescent="0.3">
      <c r="A33" s="82" t="s">
        <v>84</v>
      </c>
      <c r="B33" s="83" t="s">
        <v>60</v>
      </c>
      <c r="C33" s="77" t="s">
        <v>61</v>
      </c>
      <c r="D33" s="78">
        <v>1</v>
      </c>
      <c r="E33" s="79"/>
      <c r="F33" s="79">
        <f>+D33*E33</f>
        <v>0</v>
      </c>
      <c r="G33" s="81"/>
    </row>
    <row r="34" spans="1:7" ht="6.9" customHeight="1" x14ac:dyDescent="0.3">
      <c r="A34" s="82" t="s">
        <v>85</v>
      </c>
      <c r="B34" s="83" t="s">
        <v>63</v>
      </c>
      <c r="C34" s="77" t="s">
        <v>61</v>
      </c>
      <c r="D34" s="78">
        <v>1</v>
      </c>
      <c r="E34" s="79"/>
      <c r="F34" s="79">
        <f t="shared" ref="F34:F35" si="1">+D34*E34</f>
        <v>0</v>
      </c>
      <c r="G34" s="81"/>
    </row>
    <row r="35" spans="1:7" ht="66" x14ac:dyDescent="0.3">
      <c r="A35" s="82" t="s">
        <v>94</v>
      </c>
      <c r="B35" s="83" t="s">
        <v>65</v>
      </c>
      <c r="C35" s="77" t="s">
        <v>61</v>
      </c>
      <c r="D35" s="78">
        <v>1</v>
      </c>
      <c r="E35" s="79"/>
      <c r="F35" s="79">
        <f t="shared" si="1"/>
        <v>0</v>
      </c>
      <c r="G35" s="81"/>
    </row>
    <row r="36" spans="1:7" x14ac:dyDescent="0.3">
      <c r="A36" s="82"/>
      <c r="B36" s="83"/>
      <c r="C36" s="180"/>
      <c r="D36" s="78"/>
      <c r="E36" s="79"/>
      <c r="F36" s="79"/>
      <c r="G36" s="81"/>
    </row>
    <row r="37" spans="1:7" x14ac:dyDescent="0.3">
      <c r="A37" s="159">
        <v>5</v>
      </c>
      <c r="B37" s="233" t="s">
        <v>95</v>
      </c>
      <c r="C37" s="234"/>
      <c r="D37" s="234"/>
      <c r="E37" s="234"/>
      <c r="F37" s="235"/>
      <c r="G37" s="75">
        <f>+SUM(F39)</f>
        <v>0</v>
      </c>
    </row>
    <row r="38" spans="1:7" x14ac:dyDescent="0.3">
      <c r="A38" s="82"/>
      <c r="B38" s="83"/>
      <c r="C38" s="180"/>
      <c r="D38" s="78"/>
      <c r="E38" s="79"/>
      <c r="F38" s="79"/>
      <c r="G38" s="81"/>
    </row>
    <row r="39" spans="1:7" ht="52.8" x14ac:dyDescent="0.3">
      <c r="A39" s="82" t="s">
        <v>58</v>
      </c>
      <c r="B39" s="83" t="s">
        <v>68</v>
      </c>
      <c r="C39" s="77" t="s">
        <v>61</v>
      </c>
      <c r="D39" s="78">
        <v>1</v>
      </c>
      <c r="E39" s="79"/>
      <c r="F39" s="79">
        <f t="shared" ref="F39" si="2">D39*E39</f>
        <v>0</v>
      </c>
      <c r="G39" s="81"/>
    </row>
    <row r="40" spans="1:7" x14ac:dyDescent="0.3">
      <c r="A40" s="82"/>
      <c r="B40" s="83"/>
      <c r="C40" s="77"/>
      <c r="D40" s="78"/>
      <c r="E40" s="79"/>
      <c r="F40" s="79"/>
      <c r="G40" s="81"/>
    </row>
    <row r="41" spans="1:7" x14ac:dyDescent="0.3">
      <c r="A41" s="159">
        <v>6</v>
      </c>
      <c r="B41" s="233" t="s">
        <v>96</v>
      </c>
      <c r="C41" s="234"/>
      <c r="D41" s="234"/>
      <c r="E41" s="234"/>
      <c r="F41" s="235"/>
      <c r="G41" s="75">
        <f>+F43</f>
        <v>0</v>
      </c>
    </row>
    <row r="42" spans="1:7" x14ac:dyDescent="0.3">
      <c r="A42" s="82"/>
      <c r="B42" s="83"/>
      <c r="C42" s="77"/>
      <c r="D42" s="78"/>
      <c r="E42" s="79"/>
      <c r="F42" s="79"/>
      <c r="G42" s="81"/>
    </row>
    <row r="43" spans="1:7" ht="67.2" x14ac:dyDescent="0.3">
      <c r="A43" s="82" t="s">
        <v>67</v>
      </c>
      <c r="B43" s="83" t="s">
        <v>80</v>
      </c>
      <c r="C43" s="77" t="s">
        <v>61</v>
      </c>
      <c r="D43" s="78">
        <v>1</v>
      </c>
      <c r="E43" s="79"/>
      <c r="F43" s="79">
        <f>+D43*E43</f>
        <v>0</v>
      </c>
      <c r="G43" s="81"/>
    </row>
    <row r="44" spans="1:7" ht="15" thickBot="1" x14ac:dyDescent="0.35">
      <c r="A44" s="82"/>
      <c r="B44" s="86"/>
      <c r="C44" s="77"/>
      <c r="D44" s="87"/>
      <c r="E44" s="79"/>
      <c r="F44" s="79"/>
      <c r="G44" s="81"/>
    </row>
    <row r="45" spans="1:7" x14ac:dyDescent="0.3">
      <c r="A45" s="88"/>
      <c r="B45" s="236"/>
      <c r="C45" s="237"/>
      <c r="D45" s="237"/>
      <c r="E45" s="237"/>
      <c r="F45" s="238"/>
      <c r="G45" s="283">
        <f>+SUM(G10:G44)</f>
        <v>0</v>
      </c>
    </row>
    <row r="46" spans="1:7" ht="15" thickBot="1" x14ac:dyDescent="0.35">
      <c r="A46" s="89"/>
      <c r="B46" s="241" t="s">
        <v>81</v>
      </c>
      <c r="C46" s="242"/>
      <c r="D46" s="242"/>
      <c r="E46" s="242"/>
      <c r="F46" s="243"/>
      <c r="G46" s="284"/>
    </row>
  </sheetData>
  <mergeCells count="19">
    <mergeCell ref="B7:B8"/>
    <mergeCell ref="C7:C8"/>
    <mergeCell ref="D7:D8"/>
    <mergeCell ref="B45:F45"/>
    <mergeCell ref="G45:G46"/>
    <mergeCell ref="B46:F46"/>
    <mergeCell ref="F4:G4"/>
    <mergeCell ref="F5:G5"/>
    <mergeCell ref="B37:F37"/>
    <mergeCell ref="B41:F41"/>
    <mergeCell ref="A9:G9"/>
    <mergeCell ref="B10:F10"/>
    <mergeCell ref="B14:F14"/>
    <mergeCell ref="B20:F20"/>
    <mergeCell ref="B24:F24"/>
    <mergeCell ref="B30:F30"/>
    <mergeCell ref="A7:A8"/>
    <mergeCell ref="E7:E8"/>
    <mergeCell ref="F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I68" sqref="I68"/>
    </sheetView>
  </sheetViews>
  <sheetFormatPr defaultRowHeight="14.4" x14ac:dyDescent="0.3"/>
  <cols>
    <col min="2" max="2" width="41.6640625" customWidth="1"/>
    <col min="5" max="5" width="15.88671875" customWidth="1"/>
    <col min="6" max="6" width="11.88671875" customWidth="1"/>
    <col min="7" max="7" width="13.44140625" customWidth="1"/>
    <col min="9" max="9" width="10" bestFit="1" customWidth="1"/>
  </cols>
  <sheetData>
    <row r="1" spans="1:7" ht="7.5" customHeight="1" x14ac:dyDescent="0.3">
      <c r="A1" s="90"/>
      <c r="E1" s="91"/>
      <c r="F1" s="91"/>
    </row>
    <row r="2" spans="1:7" x14ac:dyDescent="0.3">
      <c r="A2" s="4" t="s">
        <v>11</v>
      </c>
      <c r="B2" s="4"/>
      <c r="C2" s="130"/>
      <c r="D2" s="130"/>
      <c r="E2" s="5"/>
      <c r="F2" s="131"/>
      <c r="G2" s="130"/>
    </row>
    <row r="3" spans="1:7" x14ac:dyDescent="0.3">
      <c r="A3" s="1" t="s">
        <v>12</v>
      </c>
      <c r="B3" s="4" t="s">
        <v>13</v>
      </c>
      <c r="C3" s="3"/>
      <c r="E3" s="11"/>
      <c r="F3" s="2"/>
      <c r="G3" s="3"/>
    </row>
    <row r="4" spans="1:7" x14ac:dyDescent="0.3">
      <c r="A4" s="1" t="s">
        <v>14</v>
      </c>
      <c r="B4" s="4"/>
      <c r="C4" s="3"/>
      <c r="D4" s="3"/>
      <c r="E4" s="5"/>
      <c r="F4" s="268"/>
      <c r="G4" s="268"/>
    </row>
    <row r="5" spans="1:7" x14ac:dyDescent="0.3">
      <c r="A5" s="1" t="s">
        <v>15</v>
      </c>
      <c r="B5" s="4" t="s">
        <v>183</v>
      </c>
      <c r="C5" s="3"/>
      <c r="D5" s="3"/>
      <c r="E5" s="5"/>
      <c r="F5" s="268" t="s">
        <v>122</v>
      </c>
      <c r="G5" s="268"/>
    </row>
    <row r="6" spans="1:7" ht="9.75" customHeight="1" thickBot="1" x14ac:dyDescent="0.35">
      <c r="A6" s="3"/>
      <c r="B6" s="4"/>
      <c r="C6" s="3"/>
      <c r="D6" s="3"/>
      <c r="E6" s="6"/>
      <c r="F6" s="6"/>
      <c r="G6" s="3"/>
    </row>
    <row r="7" spans="1:7" ht="15" thickBot="1" x14ac:dyDescent="0.35">
      <c r="A7" s="269" t="s">
        <v>18</v>
      </c>
      <c r="B7" s="269" t="s">
        <v>19</v>
      </c>
      <c r="C7" s="269" t="s">
        <v>20</v>
      </c>
      <c r="D7" s="271" t="s">
        <v>21</v>
      </c>
      <c r="E7" s="273" t="s">
        <v>22</v>
      </c>
      <c r="F7" s="275" t="s">
        <v>23</v>
      </c>
      <c r="G7" s="276"/>
    </row>
    <row r="8" spans="1:7" ht="15" thickBot="1" x14ac:dyDescent="0.35">
      <c r="A8" s="270"/>
      <c r="B8" s="270" t="s">
        <v>24</v>
      </c>
      <c r="C8" s="270" t="s">
        <v>25</v>
      </c>
      <c r="D8" s="272" t="s">
        <v>26</v>
      </c>
      <c r="E8" s="274"/>
      <c r="F8" s="92" t="s">
        <v>27</v>
      </c>
      <c r="G8" s="93" t="s">
        <v>28</v>
      </c>
    </row>
    <row r="9" spans="1:7" x14ac:dyDescent="0.3">
      <c r="A9" s="277"/>
      <c r="B9" s="278"/>
      <c r="C9" s="278"/>
      <c r="D9" s="278"/>
      <c r="E9" s="278"/>
      <c r="F9" s="278"/>
      <c r="G9" s="279"/>
    </row>
    <row r="10" spans="1:7" x14ac:dyDescent="0.3">
      <c r="A10" s="132">
        <v>1</v>
      </c>
      <c r="B10" s="256" t="s">
        <v>29</v>
      </c>
      <c r="C10" s="257"/>
      <c r="D10" s="257"/>
      <c r="E10" s="257"/>
      <c r="F10" s="258"/>
      <c r="G10" s="94">
        <f>+SUM(F12:F13)</f>
        <v>0</v>
      </c>
    </row>
    <row r="11" spans="1:7" x14ac:dyDescent="0.3">
      <c r="A11" s="133"/>
      <c r="B11" s="134"/>
      <c r="C11" s="134"/>
      <c r="D11" s="134"/>
      <c r="E11" s="135"/>
      <c r="F11" s="135"/>
      <c r="G11" s="136"/>
    </row>
    <row r="12" spans="1:7" ht="54.75" customHeight="1" x14ac:dyDescent="0.3">
      <c r="A12" s="35" t="s">
        <v>30</v>
      </c>
      <c r="B12" s="51" t="s">
        <v>168</v>
      </c>
      <c r="C12" s="36" t="s">
        <v>124</v>
      </c>
      <c r="D12" s="32">
        <f>57.5</f>
        <v>57.5</v>
      </c>
      <c r="E12" s="33"/>
      <c r="F12" s="33">
        <f>D12*E12</f>
        <v>0</v>
      </c>
      <c r="G12" s="52"/>
    </row>
    <row r="13" spans="1:7" ht="51" customHeight="1" x14ac:dyDescent="0.3">
      <c r="A13" s="35" t="s">
        <v>33</v>
      </c>
      <c r="B13" s="51" t="s">
        <v>123</v>
      </c>
      <c r="C13" s="36" t="s">
        <v>124</v>
      </c>
      <c r="D13" s="32">
        <f>(1.43*2)</f>
        <v>2.86</v>
      </c>
      <c r="E13" s="33"/>
      <c r="F13" s="33">
        <f>D13*E13</f>
        <v>0</v>
      </c>
      <c r="G13" s="52"/>
    </row>
    <row r="14" spans="1:7" ht="16.5" customHeight="1" x14ac:dyDescent="0.3">
      <c r="A14" s="35"/>
      <c r="B14" s="51"/>
      <c r="C14" s="36"/>
      <c r="D14" s="32"/>
      <c r="E14" s="33"/>
      <c r="F14" s="33"/>
      <c r="G14" s="52"/>
    </row>
    <row r="15" spans="1:7" ht="16.5" customHeight="1" x14ac:dyDescent="0.3">
      <c r="A15" s="132">
        <v>2</v>
      </c>
      <c r="B15" s="256" t="s">
        <v>98</v>
      </c>
      <c r="C15" s="257"/>
      <c r="D15" s="257"/>
      <c r="E15" s="257"/>
      <c r="F15" s="258"/>
      <c r="G15" s="94">
        <f>F17</f>
        <v>0</v>
      </c>
    </row>
    <row r="16" spans="1:7" ht="17.25" customHeight="1" x14ac:dyDescent="0.3">
      <c r="A16" s="137"/>
      <c r="B16" s="138"/>
      <c r="C16" s="139"/>
      <c r="D16" s="139"/>
      <c r="E16" s="139"/>
      <c r="F16" s="140"/>
      <c r="G16" s="141"/>
    </row>
    <row r="17" spans="1:7" ht="48" customHeight="1" x14ac:dyDescent="0.3">
      <c r="A17" s="35" t="s">
        <v>37</v>
      </c>
      <c r="B17" s="51" t="s">
        <v>169</v>
      </c>
      <c r="C17" s="36" t="s">
        <v>170</v>
      </c>
      <c r="D17" s="32">
        <f>0.8*0.8*0.4</f>
        <v>0.25600000000000006</v>
      </c>
      <c r="E17" s="33"/>
      <c r="F17" s="33">
        <f>E17</f>
        <v>0</v>
      </c>
      <c r="G17" s="52"/>
    </row>
    <row r="18" spans="1:7" x14ac:dyDescent="0.3">
      <c r="A18" s="115"/>
      <c r="B18" s="142"/>
      <c r="C18" s="116"/>
      <c r="D18" s="117"/>
      <c r="E18" s="143"/>
      <c r="F18" s="144"/>
      <c r="G18" s="17"/>
    </row>
    <row r="19" spans="1:7" x14ac:dyDescent="0.3">
      <c r="A19" s="132">
        <v>3</v>
      </c>
      <c r="B19" s="256" t="s">
        <v>41</v>
      </c>
      <c r="C19" s="257"/>
      <c r="D19" s="257"/>
      <c r="E19" s="257"/>
      <c r="F19" s="258"/>
      <c r="G19" s="94">
        <f>SUM(F21:F26)</f>
        <v>0</v>
      </c>
    </row>
    <row r="20" spans="1:7" x14ac:dyDescent="0.3">
      <c r="A20" s="133"/>
      <c r="B20" s="134"/>
      <c r="C20" s="134"/>
      <c r="D20" s="134"/>
      <c r="E20" s="135"/>
      <c r="F20" s="135"/>
      <c r="G20" s="136"/>
    </row>
    <row r="21" spans="1:7" ht="42" customHeight="1" x14ac:dyDescent="0.3">
      <c r="A21" s="29" t="s">
        <v>42</v>
      </c>
      <c r="B21" s="30" t="s">
        <v>171</v>
      </c>
      <c r="C21" s="36" t="s">
        <v>124</v>
      </c>
      <c r="D21" s="36">
        <f>(0.6*0.6)</f>
        <v>0.36</v>
      </c>
      <c r="E21" s="135"/>
      <c r="F21" s="135"/>
      <c r="G21" s="136"/>
    </row>
    <row r="22" spans="1:7" ht="87" customHeight="1" x14ac:dyDescent="0.3">
      <c r="A22" s="29" t="s">
        <v>101</v>
      </c>
      <c r="B22" s="30" t="s">
        <v>43</v>
      </c>
      <c r="C22" s="31"/>
      <c r="D22" s="32"/>
      <c r="E22" s="33"/>
      <c r="F22" s="33"/>
      <c r="G22" s="34"/>
    </row>
    <row r="23" spans="1:7" ht="15" x14ac:dyDescent="0.3">
      <c r="A23" s="35" t="s">
        <v>44</v>
      </c>
      <c r="B23" s="30" t="s">
        <v>103</v>
      </c>
      <c r="C23" s="36" t="s">
        <v>170</v>
      </c>
      <c r="D23" s="32">
        <f>(0.5*0.5*0.4)</f>
        <v>0.1</v>
      </c>
      <c r="E23" s="33"/>
      <c r="F23" s="33">
        <f t="shared" ref="F23:F26" si="0">D23*E23</f>
        <v>0</v>
      </c>
      <c r="G23" s="34"/>
    </row>
    <row r="24" spans="1:7" ht="15" x14ac:dyDescent="0.3">
      <c r="A24" s="35" t="s">
        <v>46</v>
      </c>
      <c r="B24" s="30" t="s">
        <v>105</v>
      </c>
      <c r="C24" s="36" t="s">
        <v>170</v>
      </c>
      <c r="D24" s="32">
        <f>(0.2*0.2*3.05)</f>
        <v>0.12200000000000001</v>
      </c>
      <c r="E24" s="33"/>
      <c r="F24" s="33">
        <f t="shared" si="0"/>
        <v>0</v>
      </c>
      <c r="G24" s="34"/>
    </row>
    <row r="25" spans="1:7" ht="15" x14ac:dyDescent="0.3">
      <c r="A25" s="35" t="s">
        <v>184</v>
      </c>
      <c r="B25" s="30" t="s">
        <v>45</v>
      </c>
      <c r="C25" s="36" t="s">
        <v>170</v>
      </c>
      <c r="D25" s="32">
        <f>((1.23+2.85*2+3.16*2+1.4+3.14*2+3.78+3.65*3+3.9*2+0.95)*0.2*0.4)</f>
        <v>3.5528</v>
      </c>
      <c r="E25" s="33"/>
      <c r="F25" s="33">
        <f t="shared" si="0"/>
        <v>0</v>
      </c>
      <c r="G25" s="34"/>
    </row>
    <row r="26" spans="1:7" ht="15" x14ac:dyDescent="0.3">
      <c r="A26" s="35" t="s">
        <v>185</v>
      </c>
      <c r="B26" s="30" t="s">
        <v>47</v>
      </c>
      <c r="C26" s="36" t="s">
        <v>170</v>
      </c>
      <c r="D26" s="32">
        <f>((4.65+10.4+12.32+4.52+11.46+3.72)*0.15)</f>
        <v>7.0605000000000002</v>
      </c>
      <c r="E26" s="33"/>
      <c r="F26" s="33">
        <f t="shared" si="0"/>
        <v>0</v>
      </c>
      <c r="G26" s="34"/>
    </row>
    <row r="27" spans="1:7" x14ac:dyDescent="0.3">
      <c r="A27" s="145"/>
      <c r="B27" s="146"/>
      <c r="C27" s="146"/>
      <c r="D27" s="146"/>
      <c r="E27" s="147"/>
      <c r="F27" s="147"/>
      <c r="G27" s="148"/>
    </row>
    <row r="28" spans="1:7" x14ac:dyDescent="0.3">
      <c r="A28" s="132">
        <v>4</v>
      </c>
      <c r="B28" s="256" t="s">
        <v>108</v>
      </c>
      <c r="C28" s="257"/>
      <c r="D28" s="257"/>
      <c r="E28" s="257"/>
      <c r="F28" s="258"/>
      <c r="G28" s="94">
        <f>+SUM(F30:F30)</f>
        <v>0</v>
      </c>
    </row>
    <row r="29" spans="1:7" x14ac:dyDescent="0.3">
      <c r="A29" s="133"/>
      <c r="B29" s="134"/>
      <c r="C29" s="134"/>
      <c r="D29" s="134"/>
      <c r="E29" s="135"/>
      <c r="F29" s="135"/>
      <c r="G29" s="136"/>
    </row>
    <row r="30" spans="1:7" ht="57.75" customHeight="1" x14ac:dyDescent="0.3">
      <c r="A30" s="37" t="s">
        <v>49</v>
      </c>
      <c r="B30" s="38" t="s">
        <v>38</v>
      </c>
      <c r="C30" s="36" t="s">
        <v>124</v>
      </c>
      <c r="D30" s="32">
        <f>((3.78+1.23*2)*3.05)-(0.8*2+0.6*0.6)</f>
        <v>17.071999999999999</v>
      </c>
      <c r="E30" s="33"/>
      <c r="F30" s="33">
        <f t="shared" ref="F30:F43" si="1">D30*E30</f>
        <v>0</v>
      </c>
      <c r="G30" s="34"/>
    </row>
    <row r="31" spans="1:7" x14ac:dyDescent="0.3">
      <c r="A31" s="37"/>
      <c r="B31" s="38"/>
      <c r="C31" s="36"/>
      <c r="D31" s="32"/>
      <c r="E31" s="33"/>
      <c r="F31" s="33"/>
      <c r="G31" s="34"/>
    </row>
    <row r="32" spans="1:7" x14ac:dyDescent="0.3">
      <c r="A32" s="132">
        <v>5</v>
      </c>
      <c r="B32" s="256" t="s">
        <v>109</v>
      </c>
      <c r="C32" s="257"/>
      <c r="D32" s="257"/>
      <c r="E32" s="257"/>
      <c r="F32" s="258"/>
      <c r="G32" s="94">
        <f>SUM(F34:F34)</f>
        <v>0</v>
      </c>
    </row>
    <row r="33" spans="1:7" x14ac:dyDescent="0.3">
      <c r="A33" s="37"/>
      <c r="B33" s="38"/>
      <c r="C33" s="36"/>
      <c r="D33" s="32"/>
      <c r="E33" s="33"/>
      <c r="F33" s="33"/>
      <c r="G33" s="34"/>
    </row>
    <row r="34" spans="1:7" ht="72.75" customHeight="1" x14ac:dyDescent="0.3">
      <c r="A34" s="37" t="s">
        <v>58</v>
      </c>
      <c r="B34" s="38" t="s">
        <v>50</v>
      </c>
      <c r="C34" s="36" t="s">
        <v>124</v>
      </c>
      <c r="D34" s="32">
        <f>((5.16+1.43+1.23*4+8.03+2.03*2+1.55*2)*3.05)-(0.8*2+0.6*0.6+0.95*2.1)</f>
        <v>77.47999999999999</v>
      </c>
      <c r="E34" s="33"/>
      <c r="F34" s="33">
        <f>+D34*E34</f>
        <v>0</v>
      </c>
      <c r="G34" s="34"/>
    </row>
    <row r="35" spans="1:7" x14ac:dyDescent="0.3">
      <c r="A35" s="37"/>
      <c r="B35" s="38"/>
      <c r="C35" s="36"/>
      <c r="D35" s="32"/>
      <c r="E35" s="33"/>
      <c r="F35" s="33"/>
      <c r="G35" s="34"/>
    </row>
    <row r="36" spans="1:7" x14ac:dyDescent="0.3">
      <c r="A36" s="132">
        <v>6</v>
      </c>
      <c r="B36" s="256" t="s">
        <v>111</v>
      </c>
      <c r="C36" s="257"/>
      <c r="D36" s="257"/>
      <c r="E36" s="257"/>
      <c r="F36" s="258"/>
      <c r="G36" s="94">
        <f>+SUM(F39:F43)</f>
        <v>0</v>
      </c>
    </row>
    <row r="37" spans="1:7" x14ac:dyDescent="0.3">
      <c r="A37" s="149"/>
      <c r="B37" s="138"/>
      <c r="C37" s="139"/>
      <c r="D37" s="139"/>
      <c r="E37" s="139"/>
      <c r="F37" s="140"/>
      <c r="G37" s="141"/>
    </row>
    <row r="38" spans="1:7" x14ac:dyDescent="0.3">
      <c r="A38" s="97" t="s">
        <v>67</v>
      </c>
      <c r="B38" s="98" t="s">
        <v>140</v>
      </c>
      <c r="C38" s="150"/>
      <c r="D38" s="32"/>
      <c r="E38" s="33"/>
      <c r="F38" s="33"/>
      <c r="G38" s="34"/>
    </row>
    <row r="39" spans="1:7" ht="45" customHeight="1" x14ac:dyDescent="0.3">
      <c r="A39" s="37" t="s">
        <v>112</v>
      </c>
      <c r="B39" s="38" t="s">
        <v>186</v>
      </c>
      <c r="C39" s="36" t="s">
        <v>124</v>
      </c>
      <c r="D39" s="32">
        <f>(2.5+1.91)</f>
        <v>4.41</v>
      </c>
      <c r="E39" s="33"/>
      <c r="F39" s="33">
        <f t="shared" si="1"/>
        <v>0</v>
      </c>
      <c r="G39" s="34"/>
    </row>
    <row r="40" spans="1:7" ht="21" customHeight="1" x14ac:dyDescent="0.3">
      <c r="A40" s="97" t="s">
        <v>187</v>
      </c>
      <c r="B40" s="98" t="s">
        <v>59</v>
      </c>
      <c r="C40" s="36"/>
      <c r="D40" s="32"/>
      <c r="E40" s="33"/>
      <c r="F40" s="33"/>
      <c r="G40" s="34"/>
    </row>
    <row r="41" spans="1:7" ht="75.75" customHeight="1" x14ac:dyDescent="0.3">
      <c r="A41" s="37" t="s">
        <v>188</v>
      </c>
      <c r="B41" s="38" t="s">
        <v>60</v>
      </c>
      <c r="C41" s="36" t="s">
        <v>143</v>
      </c>
      <c r="D41" s="32">
        <v>1</v>
      </c>
      <c r="E41" s="33"/>
      <c r="F41" s="33">
        <f t="shared" si="1"/>
        <v>0</v>
      </c>
      <c r="G41" s="34"/>
    </row>
    <row r="42" spans="1:7" ht="73.5" customHeight="1" x14ac:dyDescent="0.3">
      <c r="A42" s="37" t="s">
        <v>189</v>
      </c>
      <c r="B42" s="38" t="s">
        <v>63</v>
      </c>
      <c r="C42" s="36" t="s">
        <v>143</v>
      </c>
      <c r="D42" s="32">
        <v>1</v>
      </c>
      <c r="E42" s="33"/>
      <c r="F42" s="33">
        <f t="shared" si="1"/>
        <v>0</v>
      </c>
      <c r="G42" s="34"/>
    </row>
    <row r="43" spans="1:7" ht="72" customHeight="1" x14ac:dyDescent="0.3">
      <c r="A43" s="37" t="s">
        <v>190</v>
      </c>
      <c r="B43" s="38" t="s">
        <v>65</v>
      </c>
      <c r="C43" s="36" t="s">
        <v>143</v>
      </c>
      <c r="D43" s="32">
        <v>1</v>
      </c>
      <c r="E43" s="33"/>
      <c r="F43" s="33">
        <f t="shared" si="1"/>
        <v>0</v>
      </c>
      <c r="G43" s="34"/>
    </row>
    <row r="44" spans="1:7" x14ac:dyDescent="0.3">
      <c r="A44" s="37"/>
      <c r="B44" s="38"/>
      <c r="C44" s="150"/>
      <c r="D44" s="32"/>
      <c r="E44" s="33"/>
      <c r="F44" s="33"/>
      <c r="G44" s="34"/>
    </row>
    <row r="45" spans="1:7" x14ac:dyDescent="0.3">
      <c r="A45" s="132">
        <v>7</v>
      </c>
      <c r="B45" s="256" t="s">
        <v>115</v>
      </c>
      <c r="C45" s="257"/>
      <c r="D45" s="257"/>
      <c r="E45" s="257"/>
      <c r="F45" s="258"/>
      <c r="G45" s="94">
        <f>+SUM(F47:F47)</f>
        <v>0</v>
      </c>
    </row>
    <row r="46" spans="1:7" x14ac:dyDescent="0.3">
      <c r="A46" s="37"/>
      <c r="B46" s="38"/>
      <c r="C46" s="150"/>
      <c r="D46" s="32"/>
      <c r="E46" s="33"/>
      <c r="F46" s="33"/>
      <c r="G46" s="34"/>
    </row>
    <row r="47" spans="1:7" ht="54.75" customHeight="1" x14ac:dyDescent="0.3">
      <c r="A47" s="37" t="s">
        <v>70</v>
      </c>
      <c r="B47" s="38" t="s">
        <v>191</v>
      </c>
      <c r="C47" s="36" t="s">
        <v>61</v>
      </c>
      <c r="D47" s="32">
        <v>1</v>
      </c>
      <c r="E47" s="33"/>
      <c r="F47" s="33">
        <f>D47*E47</f>
        <v>0</v>
      </c>
      <c r="G47" s="34"/>
    </row>
    <row r="48" spans="1:7" x14ac:dyDescent="0.3">
      <c r="A48" s="37"/>
      <c r="B48" s="38"/>
      <c r="C48" s="150"/>
      <c r="D48" s="32"/>
      <c r="E48" s="33"/>
      <c r="F48" s="33"/>
      <c r="G48" s="34"/>
    </row>
    <row r="49" spans="1:7" x14ac:dyDescent="0.3">
      <c r="A49" s="132">
        <v>8</v>
      </c>
      <c r="B49" s="256" t="s">
        <v>116</v>
      </c>
      <c r="C49" s="257"/>
      <c r="D49" s="257"/>
      <c r="E49" s="257"/>
      <c r="F49" s="258"/>
      <c r="G49" s="94">
        <f>+SUM(F51)</f>
        <v>0</v>
      </c>
    </row>
    <row r="50" spans="1:7" x14ac:dyDescent="0.3">
      <c r="A50" s="37"/>
      <c r="B50" s="38"/>
      <c r="C50" s="150"/>
      <c r="D50" s="32"/>
      <c r="E50" s="33"/>
      <c r="F50" s="33"/>
      <c r="G50" s="34"/>
    </row>
    <row r="51" spans="1:7" ht="57" customHeight="1" x14ac:dyDescent="0.3">
      <c r="A51" s="37" t="s">
        <v>74</v>
      </c>
      <c r="B51" s="38" t="s">
        <v>192</v>
      </c>
      <c r="C51" s="36" t="s">
        <v>117</v>
      </c>
      <c r="D51" s="32">
        <v>1</v>
      </c>
      <c r="E51" s="33"/>
      <c r="F51" s="33">
        <f>D51*E51</f>
        <v>0</v>
      </c>
      <c r="G51" s="34"/>
    </row>
    <row r="52" spans="1:7" ht="16.5" customHeight="1" x14ac:dyDescent="0.3">
      <c r="A52" s="37"/>
      <c r="B52" s="38"/>
      <c r="C52" s="36"/>
      <c r="D52" s="32"/>
      <c r="E52" s="33"/>
      <c r="F52" s="33"/>
      <c r="G52" s="34"/>
    </row>
    <row r="53" spans="1:7" ht="16.5" customHeight="1" x14ac:dyDescent="0.3">
      <c r="A53" s="132">
        <v>9</v>
      </c>
      <c r="B53" s="256" t="s">
        <v>118</v>
      </c>
      <c r="C53" s="257"/>
      <c r="D53" s="257"/>
      <c r="E53" s="257"/>
      <c r="F53" s="258"/>
      <c r="G53" s="94">
        <f>+SUM(F55:F56)</f>
        <v>0</v>
      </c>
    </row>
    <row r="54" spans="1:7" ht="16.5" customHeight="1" x14ac:dyDescent="0.3">
      <c r="A54" s="37"/>
      <c r="B54" s="38"/>
      <c r="C54" s="36"/>
      <c r="D54" s="32"/>
      <c r="E54" s="33"/>
      <c r="F54" s="33"/>
      <c r="G54" s="34"/>
    </row>
    <row r="55" spans="1:7" ht="68.25" customHeight="1" x14ac:dyDescent="0.3">
      <c r="A55" s="37" t="s">
        <v>79</v>
      </c>
      <c r="B55" s="96" t="s">
        <v>193</v>
      </c>
      <c r="C55" s="36" t="s">
        <v>61</v>
      </c>
      <c r="D55" s="32">
        <v>1</v>
      </c>
      <c r="E55" s="33"/>
      <c r="F55" s="33">
        <f>E55</f>
        <v>0</v>
      </c>
      <c r="G55" s="34"/>
    </row>
    <row r="56" spans="1:7" ht="56.25" customHeight="1" x14ac:dyDescent="0.3">
      <c r="A56" s="37" t="s">
        <v>194</v>
      </c>
      <c r="B56" s="38" t="s">
        <v>195</v>
      </c>
      <c r="C56" s="36" t="s">
        <v>61</v>
      </c>
      <c r="D56" s="32">
        <v>1</v>
      </c>
      <c r="E56" s="33"/>
      <c r="F56" s="33">
        <f t="shared" ref="F56" si="2">D56*E56</f>
        <v>0</v>
      </c>
      <c r="G56" s="34"/>
    </row>
    <row r="57" spans="1:7" x14ac:dyDescent="0.3">
      <c r="A57" s="37"/>
      <c r="B57" s="38"/>
      <c r="C57" s="36"/>
      <c r="D57" s="32"/>
      <c r="E57" s="33"/>
      <c r="F57" s="33"/>
      <c r="G57" s="34"/>
    </row>
    <row r="58" spans="1:7" x14ac:dyDescent="0.3">
      <c r="A58" s="132">
        <v>10</v>
      </c>
      <c r="B58" s="256" t="s">
        <v>119</v>
      </c>
      <c r="C58" s="257"/>
      <c r="D58" s="257"/>
      <c r="E58" s="257"/>
      <c r="F58" s="258"/>
      <c r="G58" s="94">
        <f>+F60</f>
        <v>0</v>
      </c>
    </row>
    <row r="59" spans="1:7" x14ac:dyDescent="0.3">
      <c r="A59" s="37"/>
      <c r="B59" s="38"/>
      <c r="C59" s="36"/>
      <c r="D59" s="32"/>
      <c r="E59" s="33"/>
      <c r="F59" s="33"/>
      <c r="G59" s="34"/>
    </row>
    <row r="60" spans="1:7" ht="68.25" customHeight="1" x14ac:dyDescent="0.3">
      <c r="A60" s="37" t="s">
        <v>178</v>
      </c>
      <c r="B60" s="96" t="s">
        <v>179</v>
      </c>
      <c r="C60" s="36" t="s">
        <v>61</v>
      </c>
      <c r="D60" s="32"/>
      <c r="E60" s="33"/>
      <c r="F60" s="33">
        <f>+D60*E60</f>
        <v>0</v>
      </c>
      <c r="G60" s="34"/>
    </row>
    <row r="61" spans="1:7" ht="18" customHeight="1" x14ac:dyDescent="0.3">
      <c r="A61" s="37"/>
      <c r="B61" s="38"/>
      <c r="C61" s="36"/>
      <c r="D61" s="32"/>
      <c r="E61" s="33"/>
      <c r="F61" s="33"/>
      <c r="G61" s="118"/>
    </row>
    <row r="62" spans="1:7" ht="18" customHeight="1" x14ac:dyDescent="0.3">
      <c r="A62" s="99">
        <v>12</v>
      </c>
      <c r="B62" s="256" t="s">
        <v>196</v>
      </c>
      <c r="C62" s="257"/>
      <c r="D62" s="257"/>
      <c r="E62" s="257"/>
      <c r="F62" s="258"/>
      <c r="G62" s="94">
        <f>SUM(F64:F65)</f>
        <v>0</v>
      </c>
    </row>
    <row r="63" spans="1:7" ht="18" customHeight="1" x14ac:dyDescent="0.3">
      <c r="A63" s="101"/>
      <c r="B63" s="102"/>
      <c r="C63" s="103"/>
      <c r="D63" s="104"/>
      <c r="E63" s="105"/>
      <c r="F63" s="105"/>
      <c r="G63" s="106"/>
    </row>
    <row r="64" spans="1:7" ht="37.5" customHeight="1" x14ac:dyDescent="0.3">
      <c r="A64" s="151" t="s">
        <v>197</v>
      </c>
      <c r="B64" s="38" t="s">
        <v>198</v>
      </c>
      <c r="C64" s="36" t="s">
        <v>61</v>
      </c>
      <c r="D64" s="32">
        <v>1</v>
      </c>
      <c r="E64" s="61"/>
      <c r="F64" s="61">
        <f>D64*E64</f>
        <v>0</v>
      </c>
      <c r="G64" s="62"/>
    </row>
    <row r="65" spans="1:9" ht="35.25" customHeight="1" x14ac:dyDescent="0.3">
      <c r="A65" s="151" t="s">
        <v>199</v>
      </c>
      <c r="B65" s="38" t="s">
        <v>200</v>
      </c>
      <c r="C65" s="36" t="s">
        <v>61</v>
      </c>
      <c r="D65" s="32">
        <v>1</v>
      </c>
      <c r="E65" s="61"/>
      <c r="F65" s="61">
        <f>D65*E65</f>
        <v>0</v>
      </c>
      <c r="G65" s="62"/>
    </row>
    <row r="66" spans="1:9" ht="15" thickBot="1" x14ac:dyDescent="0.35">
      <c r="A66" s="37"/>
      <c r="B66" s="119"/>
      <c r="C66" s="120"/>
      <c r="D66" s="121"/>
      <c r="E66" s="33"/>
      <c r="F66" s="33"/>
      <c r="G66" s="34"/>
    </row>
    <row r="67" spans="1:9" x14ac:dyDescent="0.3">
      <c r="A67" s="113"/>
      <c r="B67" s="260"/>
      <c r="C67" s="261"/>
      <c r="D67" s="261"/>
      <c r="E67" s="261"/>
      <c r="F67" s="262"/>
      <c r="G67" s="263">
        <f>+SUM(G10:G66)</f>
        <v>0</v>
      </c>
    </row>
    <row r="68" spans="1:9" ht="15" thickBot="1" x14ac:dyDescent="0.35">
      <c r="A68" s="114"/>
      <c r="B68" s="265" t="s">
        <v>81</v>
      </c>
      <c r="C68" s="266"/>
      <c r="D68" s="266"/>
      <c r="E68" s="266"/>
      <c r="F68" s="267"/>
      <c r="G68" s="264"/>
      <c r="I68" s="207"/>
    </row>
  </sheetData>
  <mergeCells count="23">
    <mergeCell ref="B68:F68"/>
    <mergeCell ref="B62:F62"/>
    <mergeCell ref="B67:F67"/>
    <mergeCell ref="G67:G68"/>
    <mergeCell ref="B32:F32"/>
    <mergeCell ref="B36:F36"/>
    <mergeCell ref="B45:F45"/>
    <mergeCell ref="B49:F49"/>
    <mergeCell ref="B53:F53"/>
    <mergeCell ref="B58:F58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19:F19"/>
    <mergeCell ref="B28:F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56" sqref="E56"/>
    </sheetView>
  </sheetViews>
  <sheetFormatPr defaultRowHeight="14.4" x14ac:dyDescent="0.3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0.44140625" bestFit="1" customWidth="1"/>
    <col min="7" max="7" width="12.33203125" customWidth="1"/>
  </cols>
  <sheetData>
    <row r="1" spans="1:7" x14ac:dyDescent="0.3">
      <c r="A1" s="1" t="s">
        <v>12</v>
      </c>
      <c r="B1" s="291" t="s">
        <v>13</v>
      </c>
      <c r="C1" s="291"/>
      <c r="D1" s="291"/>
      <c r="E1" s="291"/>
      <c r="F1" s="2"/>
      <c r="G1" s="3"/>
    </row>
    <row r="2" spans="1:7" x14ac:dyDescent="0.3">
      <c r="A2" s="1" t="s">
        <v>14</v>
      </c>
      <c r="B2" s="4"/>
      <c r="C2" s="3"/>
      <c r="D2" s="3"/>
      <c r="E2" s="5"/>
      <c r="F2" s="268"/>
      <c r="G2" s="268"/>
    </row>
    <row r="3" spans="1:7" x14ac:dyDescent="0.3">
      <c r="A3" s="1" t="s">
        <v>15</v>
      </c>
      <c r="B3" s="291" t="s">
        <v>153</v>
      </c>
      <c r="C3" s="291"/>
      <c r="D3" s="291"/>
      <c r="E3" s="291"/>
      <c r="F3" s="268" t="s">
        <v>122</v>
      </c>
      <c r="G3" s="268"/>
    </row>
    <row r="4" spans="1:7" ht="15" thickBot="1" x14ac:dyDescent="0.35">
      <c r="A4" s="3"/>
      <c r="B4" s="4"/>
      <c r="C4" s="3"/>
      <c r="D4" s="3"/>
      <c r="E4" s="6"/>
      <c r="F4" s="6"/>
      <c r="G4" s="3"/>
    </row>
    <row r="5" spans="1:7" ht="15" thickBot="1" x14ac:dyDescent="0.35">
      <c r="A5" s="286" t="s">
        <v>18</v>
      </c>
      <c r="B5" s="286" t="s">
        <v>19</v>
      </c>
      <c r="C5" s="286" t="s">
        <v>20</v>
      </c>
      <c r="D5" s="285" t="s">
        <v>21</v>
      </c>
      <c r="E5" s="292" t="s">
        <v>22</v>
      </c>
      <c r="F5" s="286" t="s">
        <v>23</v>
      </c>
      <c r="G5" s="286"/>
    </row>
    <row r="6" spans="1:7" ht="15" thickBot="1" x14ac:dyDescent="0.35">
      <c r="A6" s="286"/>
      <c r="B6" s="286" t="s">
        <v>24</v>
      </c>
      <c r="C6" s="286" t="s">
        <v>25</v>
      </c>
      <c r="D6" s="285" t="s">
        <v>26</v>
      </c>
      <c r="E6" s="292"/>
      <c r="F6" s="7" t="s">
        <v>27</v>
      </c>
      <c r="G6" s="8" t="s">
        <v>28</v>
      </c>
    </row>
    <row r="7" spans="1:7" ht="15" thickBot="1" x14ac:dyDescent="0.35">
      <c r="A7" s="286"/>
      <c r="B7" s="286"/>
      <c r="C7" s="286"/>
      <c r="D7" s="286"/>
      <c r="E7" s="286"/>
      <c r="F7" s="286"/>
      <c r="G7" s="286"/>
    </row>
    <row r="8" spans="1:7" ht="15" thickBot="1" x14ac:dyDescent="0.35">
      <c r="A8" s="9">
        <v>1</v>
      </c>
      <c r="B8" s="288" t="s">
        <v>29</v>
      </c>
      <c r="C8" s="288"/>
      <c r="D8" s="288"/>
      <c r="E8" s="288"/>
      <c r="F8" s="288"/>
      <c r="G8" s="129">
        <f>F10</f>
        <v>0</v>
      </c>
    </row>
    <row r="9" spans="1:7" x14ac:dyDescent="0.3">
      <c r="A9" s="10"/>
      <c r="B9" s="4"/>
      <c r="C9" s="4"/>
      <c r="D9" s="4"/>
      <c r="E9" s="11"/>
      <c r="F9" s="11"/>
      <c r="G9" s="12"/>
    </row>
    <row r="10" spans="1:7" ht="55.2" x14ac:dyDescent="0.3">
      <c r="A10" s="35" t="s">
        <v>30</v>
      </c>
      <c r="B10" s="51" t="s">
        <v>123</v>
      </c>
      <c r="C10" s="36" t="s">
        <v>124</v>
      </c>
      <c r="D10" s="32">
        <f>(0.6*0.6+0.6*0.6)</f>
        <v>0.72</v>
      </c>
      <c r="E10" s="33"/>
      <c r="F10" s="33">
        <f t="shared" ref="F10" si="0">D10*E10</f>
        <v>0</v>
      </c>
      <c r="G10" s="52"/>
    </row>
    <row r="11" spans="1:7" ht="15" thickBot="1" x14ac:dyDescent="0.35">
      <c r="A11" s="18"/>
      <c r="B11" s="19"/>
      <c r="C11" s="19"/>
      <c r="D11" s="19"/>
      <c r="E11" s="20"/>
      <c r="F11" s="20"/>
      <c r="G11" s="21"/>
    </row>
    <row r="12" spans="1:7" ht="15" thickBot="1" x14ac:dyDescent="0.35">
      <c r="A12" s="9">
        <v>2</v>
      </c>
      <c r="B12" s="288" t="s">
        <v>154</v>
      </c>
      <c r="C12" s="288"/>
      <c r="D12" s="288"/>
      <c r="E12" s="288"/>
      <c r="F12" s="288"/>
      <c r="G12" s="129">
        <f>SUM(F14:F16)</f>
        <v>0</v>
      </c>
    </row>
    <row r="13" spans="1:7" x14ac:dyDescent="0.3">
      <c r="A13" s="53"/>
      <c r="B13" s="54"/>
      <c r="C13" s="55"/>
      <c r="D13" s="56"/>
      <c r="E13" s="57"/>
      <c r="F13" s="57"/>
      <c r="G13" s="58"/>
    </row>
    <row r="14" spans="1:7" ht="82.8" x14ac:dyDescent="0.3">
      <c r="A14" s="13" t="s">
        <v>37</v>
      </c>
      <c r="B14" s="59" t="s">
        <v>50</v>
      </c>
      <c r="C14" s="14" t="s">
        <v>124</v>
      </c>
      <c r="D14" s="15">
        <f>(3*8.53)-(1.9*1+0.9*2.1+0.85*1)+(3*4.04)*(0.9*2.1)+(0.6*5.77)+(2.9*3.84)-(0.9*2.1)+(2.9*(2.06+2.06+3.51+3.51))-(0.9*2.1)+(2.9*(2.5+2.5+2.06+2.06))-(0.9*2.1+0.8*2.1+0.9*2.1+0.6*0.6)</f>
        <v>107.60879999999999</v>
      </c>
      <c r="E14" s="33"/>
      <c r="F14" s="16">
        <f>+D14*E14</f>
        <v>0</v>
      </c>
      <c r="G14" s="60"/>
    </row>
    <row r="15" spans="1:7" ht="27.6" x14ac:dyDescent="0.3">
      <c r="A15" s="13" t="s">
        <v>39</v>
      </c>
      <c r="B15" s="59" t="s">
        <v>52</v>
      </c>
      <c r="C15" s="14" t="s">
        <v>124</v>
      </c>
      <c r="D15" s="15">
        <f>(3*8.53)-(1.9*1+0.9*2.1+0.85*1)+(3*4.04)*(0.9*2.1)+(2.9*(5.77+5.77+3.84+3.84))-(0.9*2.1+1.9*1+0.9*2.1)+(2.9*(2.06+2.06+3.51+3.51))-(0.9*2.1)+(2.9*(2.5+2.5+2.06+2.06))-(0.9*2.1+0.8*2.1+0.9*2.1+0.6*0.6)</f>
        <v>144.9588</v>
      </c>
      <c r="E15" s="33"/>
      <c r="F15" s="16">
        <f>+D15*E15</f>
        <v>0</v>
      </c>
      <c r="G15" s="60"/>
    </row>
    <row r="16" spans="1:7" ht="27.6" x14ac:dyDescent="0.3">
      <c r="A16" s="13" t="s">
        <v>155</v>
      </c>
      <c r="B16" s="59" t="s">
        <v>54</v>
      </c>
      <c r="C16" s="14" t="s">
        <v>124</v>
      </c>
      <c r="D16" s="15">
        <f>(22.02+7.16+4.94+3.5)</f>
        <v>37.619999999999997</v>
      </c>
      <c r="E16" s="33"/>
      <c r="F16" s="61">
        <f>D16*E16</f>
        <v>0</v>
      </c>
      <c r="G16" s="62"/>
    </row>
    <row r="17" spans="1:7" ht="15" thickBot="1" x14ac:dyDescent="0.35">
      <c r="A17" s="63"/>
      <c r="B17" s="64"/>
      <c r="C17" s="65"/>
      <c r="D17" s="66"/>
      <c r="E17" s="67"/>
      <c r="F17" s="68"/>
      <c r="G17" s="69"/>
    </row>
    <row r="18" spans="1:7" ht="15" thickBot="1" x14ac:dyDescent="0.35">
      <c r="A18" s="9">
        <v>3</v>
      </c>
      <c r="B18" s="288" t="s">
        <v>156</v>
      </c>
      <c r="C18" s="288"/>
      <c r="D18" s="288"/>
      <c r="E18" s="288"/>
      <c r="F18" s="288"/>
      <c r="G18" s="129">
        <f>+SUM(F20:F26)</f>
        <v>0</v>
      </c>
    </row>
    <row r="19" spans="1:7" x14ac:dyDescent="0.3">
      <c r="A19" s="42"/>
      <c r="B19" s="43"/>
      <c r="C19" s="28"/>
      <c r="D19" s="23"/>
      <c r="E19" s="24"/>
      <c r="F19" s="24"/>
      <c r="G19" s="44"/>
    </row>
    <row r="20" spans="1:7" x14ac:dyDescent="0.3">
      <c r="A20" s="37" t="s">
        <v>42</v>
      </c>
      <c r="B20" s="289" t="s">
        <v>140</v>
      </c>
      <c r="C20" s="289"/>
      <c r="D20" s="289"/>
      <c r="E20" s="289"/>
      <c r="F20" s="289"/>
      <c r="G20" s="290"/>
    </row>
    <row r="21" spans="1:7" ht="69" x14ac:dyDescent="0.3">
      <c r="A21" s="37" t="s">
        <v>44</v>
      </c>
      <c r="B21" s="38" t="s">
        <v>141</v>
      </c>
      <c r="C21" s="36" t="s">
        <v>124</v>
      </c>
      <c r="D21" s="32">
        <f>(2.9*(1.92+1.92+1.8+1.8))-(0.8*2.1+0.6*0.6)</f>
        <v>19.535999999999998</v>
      </c>
      <c r="E21" s="33"/>
      <c r="F21" s="33">
        <f t="shared" ref="F21:F25" si="1">D21*E21</f>
        <v>0</v>
      </c>
      <c r="G21" s="34"/>
    </row>
    <row r="22" spans="1:7" x14ac:dyDescent="0.3">
      <c r="A22" s="37" t="s">
        <v>101</v>
      </c>
      <c r="B22" s="289" t="s">
        <v>59</v>
      </c>
      <c r="C22" s="289"/>
      <c r="D22" s="289"/>
      <c r="E22" s="289"/>
      <c r="F22" s="289"/>
      <c r="G22" s="290"/>
    </row>
    <row r="23" spans="1:7" ht="69" x14ac:dyDescent="0.3">
      <c r="A23" s="37" t="s">
        <v>102</v>
      </c>
      <c r="B23" s="190" t="s">
        <v>157</v>
      </c>
      <c r="C23" s="36" t="s">
        <v>143</v>
      </c>
      <c r="D23" s="32">
        <v>1</v>
      </c>
      <c r="E23" s="33"/>
      <c r="F23" s="33">
        <f>D23*E23</f>
        <v>0</v>
      </c>
      <c r="G23" s="34"/>
    </row>
    <row r="24" spans="1:7" ht="69" x14ac:dyDescent="0.3">
      <c r="A24" s="37" t="s">
        <v>104</v>
      </c>
      <c r="B24" s="38" t="s">
        <v>158</v>
      </c>
      <c r="C24" s="36" t="s">
        <v>143</v>
      </c>
      <c r="D24" s="32">
        <v>1</v>
      </c>
      <c r="E24" s="33"/>
      <c r="F24" s="33">
        <f t="shared" si="1"/>
        <v>0</v>
      </c>
      <c r="G24" s="34"/>
    </row>
    <row r="25" spans="1:7" ht="69" x14ac:dyDescent="0.3">
      <c r="A25" s="37" t="s">
        <v>106</v>
      </c>
      <c r="B25" s="38" t="s">
        <v>159</v>
      </c>
      <c r="C25" s="36" t="s">
        <v>143</v>
      </c>
      <c r="D25" s="32">
        <v>1</v>
      </c>
      <c r="E25" s="33"/>
      <c r="F25" s="33">
        <f t="shared" si="1"/>
        <v>0</v>
      </c>
      <c r="G25" s="34"/>
    </row>
    <row r="26" spans="1:7" ht="15" thickBot="1" x14ac:dyDescent="0.35">
      <c r="A26" s="39"/>
      <c r="B26" s="40"/>
      <c r="C26" s="45"/>
      <c r="D26" s="26"/>
      <c r="E26" s="27"/>
      <c r="F26" s="27"/>
      <c r="G26" s="41"/>
    </row>
    <row r="27" spans="1:7" ht="15" thickBot="1" x14ac:dyDescent="0.35">
      <c r="A27" s="9">
        <v>4</v>
      </c>
      <c r="B27" s="288" t="s">
        <v>127</v>
      </c>
      <c r="C27" s="288"/>
      <c r="D27" s="288"/>
      <c r="E27" s="288"/>
      <c r="F27" s="288"/>
      <c r="G27" s="129">
        <f>SUM(F29:F30)</f>
        <v>0</v>
      </c>
    </row>
    <row r="28" spans="1:7" x14ac:dyDescent="0.3">
      <c r="A28" s="42"/>
      <c r="B28" s="43"/>
      <c r="C28" s="22"/>
      <c r="D28" s="23"/>
      <c r="E28" s="24"/>
      <c r="F28" s="24"/>
      <c r="G28" s="44"/>
    </row>
    <row r="29" spans="1:7" ht="69" x14ac:dyDescent="0.3">
      <c r="A29" s="37" t="s">
        <v>49</v>
      </c>
      <c r="B29" s="38" t="s">
        <v>160</v>
      </c>
      <c r="C29" s="36" t="s">
        <v>117</v>
      </c>
      <c r="D29" s="32">
        <v>1</v>
      </c>
      <c r="E29" s="38"/>
      <c r="F29" s="191">
        <f>D29*E29</f>
        <v>0</v>
      </c>
      <c r="G29" s="192"/>
    </row>
    <row r="30" spans="1:7" ht="55.2" x14ac:dyDescent="0.3">
      <c r="A30" s="37" t="s">
        <v>51</v>
      </c>
      <c r="B30" s="38" t="s">
        <v>128</v>
      </c>
      <c r="C30" s="36" t="s">
        <v>117</v>
      </c>
      <c r="D30" s="32">
        <v>1</v>
      </c>
      <c r="E30" s="38"/>
      <c r="F30" s="191">
        <f t="shared" ref="F30" si="2">D30*E30</f>
        <v>0</v>
      </c>
      <c r="G30" s="192"/>
    </row>
    <row r="31" spans="1:7" ht="15" thickBot="1" x14ac:dyDescent="0.35">
      <c r="A31" s="39"/>
      <c r="B31" s="46"/>
      <c r="C31" s="47"/>
      <c r="D31" s="48"/>
      <c r="E31" s="27"/>
      <c r="F31" s="27"/>
      <c r="G31" s="41"/>
    </row>
    <row r="32" spans="1:7" ht="15" thickBot="1" x14ac:dyDescent="0.35">
      <c r="A32" s="9">
        <v>5</v>
      </c>
      <c r="B32" s="288" t="s">
        <v>129</v>
      </c>
      <c r="C32" s="288"/>
      <c r="D32" s="288"/>
      <c r="E32" s="288"/>
      <c r="F32" s="288"/>
      <c r="G32" s="129">
        <f>SUM(F34:F35)</f>
        <v>0</v>
      </c>
    </row>
    <row r="33" spans="1:7" x14ac:dyDescent="0.3">
      <c r="A33" s="42"/>
      <c r="B33" s="43"/>
      <c r="C33" s="22"/>
      <c r="D33" s="23"/>
      <c r="E33" s="24"/>
      <c r="F33" s="24"/>
      <c r="G33" s="44"/>
    </row>
    <row r="34" spans="1:7" ht="82.8" x14ac:dyDescent="0.3">
      <c r="A34" s="37" t="s">
        <v>58</v>
      </c>
      <c r="B34" s="38" t="s">
        <v>161</v>
      </c>
      <c r="C34" s="36" t="s">
        <v>61</v>
      </c>
      <c r="D34" s="32">
        <v>1</v>
      </c>
      <c r="E34" s="33"/>
      <c r="F34" s="33">
        <f>D34*E34</f>
        <v>0</v>
      </c>
      <c r="G34" s="34"/>
    </row>
    <row r="35" spans="1:7" ht="69" x14ac:dyDescent="0.3">
      <c r="A35" s="37" t="s">
        <v>62</v>
      </c>
      <c r="B35" s="38" t="s">
        <v>130</v>
      </c>
      <c r="C35" s="36" t="s">
        <v>61</v>
      </c>
      <c r="D35" s="32">
        <v>1</v>
      </c>
      <c r="E35" s="33"/>
      <c r="F35" s="33">
        <f>D35*E35</f>
        <v>0</v>
      </c>
      <c r="G35" s="34"/>
    </row>
    <row r="36" spans="1:7" ht="15" thickBot="1" x14ac:dyDescent="0.35">
      <c r="A36" s="39"/>
      <c r="B36" s="46"/>
      <c r="C36" s="47"/>
      <c r="D36" s="48"/>
      <c r="E36" s="27"/>
      <c r="F36" s="27"/>
      <c r="G36" s="41"/>
    </row>
    <row r="37" spans="1:7" ht="15" thickBot="1" x14ac:dyDescent="0.35">
      <c r="A37" s="9">
        <v>6</v>
      </c>
      <c r="B37" s="288" t="s">
        <v>96</v>
      </c>
      <c r="C37" s="288"/>
      <c r="D37" s="288"/>
      <c r="E37" s="288"/>
      <c r="F37" s="288"/>
      <c r="G37" s="129">
        <f>+F39</f>
        <v>0</v>
      </c>
    </row>
    <row r="38" spans="1:7" x14ac:dyDescent="0.3">
      <c r="A38" s="42"/>
      <c r="B38" s="43"/>
      <c r="C38" s="22"/>
      <c r="D38" s="23"/>
      <c r="E38" s="24"/>
      <c r="F38" s="24"/>
      <c r="G38" s="44"/>
    </row>
    <row r="39" spans="1:7" ht="69" x14ac:dyDescent="0.3">
      <c r="A39" s="193" t="s">
        <v>67</v>
      </c>
      <c r="B39" s="96" t="s">
        <v>80</v>
      </c>
      <c r="C39" s="194" t="s">
        <v>61</v>
      </c>
      <c r="D39" s="195">
        <v>1</v>
      </c>
      <c r="E39" s="196"/>
      <c r="F39" s="196">
        <f>+D39*E39</f>
        <v>0</v>
      </c>
      <c r="G39" s="118"/>
    </row>
    <row r="40" spans="1:7" ht="15" thickBot="1" x14ac:dyDescent="0.35">
      <c r="A40" s="39"/>
      <c r="B40" s="46"/>
      <c r="C40" s="47"/>
      <c r="D40" s="48"/>
      <c r="E40" s="27"/>
      <c r="F40" s="27"/>
      <c r="G40" s="41"/>
    </row>
    <row r="41" spans="1:7" ht="15" thickBot="1" x14ac:dyDescent="0.35">
      <c r="A41" s="9">
        <v>7</v>
      </c>
      <c r="B41" s="288" t="s">
        <v>162</v>
      </c>
      <c r="C41" s="288"/>
      <c r="D41" s="288"/>
      <c r="E41" s="288"/>
      <c r="F41" s="288"/>
      <c r="G41" s="129">
        <f>F43+F44</f>
        <v>0</v>
      </c>
    </row>
    <row r="42" spans="1:7" x14ac:dyDescent="0.3">
      <c r="A42" s="42"/>
      <c r="B42" s="43"/>
      <c r="C42" s="22"/>
      <c r="D42" s="23"/>
      <c r="E42" s="24"/>
      <c r="F42" s="24"/>
      <c r="G42" s="44"/>
    </row>
    <row r="43" spans="1:7" ht="41.4" x14ac:dyDescent="0.3">
      <c r="A43" s="37" t="s">
        <v>70</v>
      </c>
      <c r="B43" s="38" t="s">
        <v>163</v>
      </c>
      <c r="C43" s="36" t="s">
        <v>61</v>
      </c>
      <c r="D43" s="32">
        <v>2</v>
      </c>
      <c r="E43" s="33"/>
      <c r="F43" s="33">
        <f>D43*E43</f>
        <v>0</v>
      </c>
      <c r="G43" s="34"/>
    </row>
    <row r="44" spans="1:7" ht="41.4" x14ac:dyDescent="0.3">
      <c r="A44" s="37" t="s">
        <v>87</v>
      </c>
      <c r="B44" s="38" t="s">
        <v>164</v>
      </c>
      <c r="C44" s="36" t="s">
        <v>61</v>
      </c>
      <c r="D44" s="32">
        <v>2</v>
      </c>
      <c r="E44" s="33"/>
      <c r="F44" s="33">
        <f>D44*E44</f>
        <v>0</v>
      </c>
      <c r="G44" s="34"/>
    </row>
    <row r="45" spans="1:7" ht="15" thickBot="1" x14ac:dyDescent="0.35">
      <c r="A45" s="197"/>
      <c r="B45" s="198"/>
      <c r="C45" s="199"/>
      <c r="D45" s="200"/>
      <c r="E45" s="201"/>
      <c r="F45" s="201"/>
      <c r="G45" s="202"/>
    </row>
    <row r="46" spans="1:7" ht="15" thickBot="1" x14ac:dyDescent="0.35">
      <c r="A46" s="9">
        <v>8</v>
      </c>
      <c r="B46" s="288" t="s">
        <v>133</v>
      </c>
      <c r="C46" s="288"/>
      <c r="D46" s="288"/>
      <c r="E46" s="288"/>
      <c r="F46" s="288"/>
      <c r="G46" s="129">
        <f>+SUM(F48:F49)</f>
        <v>0</v>
      </c>
    </row>
    <row r="47" spans="1:7" x14ac:dyDescent="0.3">
      <c r="A47" s="42"/>
      <c r="B47" s="43"/>
      <c r="C47" s="22"/>
      <c r="D47" s="23"/>
      <c r="E47" s="24"/>
      <c r="F47" s="24"/>
      <c r="G47" s="44"/>
    </row>
    <row r="48" spans="1:7" ht="55.2" x14ac:dyDescent="0.3">
      <c r="A48" s="37" t="s">
        <v>74</v>
      </c>
      <c r="B48" s="38" t="s">
        <v>134</v>
      </c>
      <c r="C48" s="36" t="s">
        <v>124</v>
      </c>
      <c r="D48" s="32"/>
      <c r="E48" s="33"/>
      <c r="F48" s="33">
        <f>D48*E48</f>
        <v>0</v>
      </c>
      <c r="G48" s="34"/>
    </row>
    <row r="49" spans="1:7" ht="55.2" x14ac:dyDescent="0.3">
      <c r="A49" s="37" t="s">
        <v>76</v>
      </c>
      <c r="B49" s="38" t="s">
        <v>135</v>
      </c>
      <c r="C49" s="36" t="s">
        <v>61</v>
      </c>
      <c r="D49" s="32">
        <v>1</v>
      </c>
      <c r="E49" s="33"/>
      <c r="F49" s="33">
        <f>D49*E49</f>
        <v>0</v>
      </c>
      <c r="G49" s="34"/>
    </row>
    <row r="50" spans="1:7" ht="15" thickBot="1" x14ac:dyDescent="0.35">
      <c r="A50" s="39"/>
      <c r="B50" s="40"/>
      <c r="C50" s="25"/>
      <c r="D50" s="26"/>
      <c r="E50" s="27"/>
      <c r="F50" s="27"/>
      <c r="G50" s="41"/>
    </row>
    <row r="51" spans="1:7" ht="15" thickBot="1" x14ac:dyDescent="0.35">
      <c r="A51" s="50"/>
      <c r="B51" s="285"/>
      <c r="C51" s="285"/>
      <c r="D51" s="285"/>
      <c r="E51" s="285"/>
      <c r="F51" s="285"/>
      <c r="G51" s="285">
        <f>+SUM(G8:G50)</f>
        <v>0</v>
      </c>
    </row>
    <row r="52" spans="1:7" ht="15" thickBot="1" x14ac:dyDescent="0.35">
      <c r="A52" s="50"/>
      <c r="B52" s="287" t="s">
        <v>81</v>
      </c>
      <c r="C52" s="287"/>
      <c r="D52" s="287"/>
      <c r="E52" s="287"/>
      <c r="F52" s="287"/>
      <c r="G52" s="286"/>
    </row>
    <row r="73" ht="15" customHeight="1" x14ac:dyDescent="0.3"/>
  </sheetData>
  <mergeCells count="24">
    <mergeCell ref="A7:G7"/>
    <mergeCell ref="B8:F8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B51:F51"/>
    <mergeCell ref="G51:G52"/>
    <mergeCell ref="B52:F52"/>
    <mergeCell ref="B12:F12"/>
    <mergeCell ref="B18:F18"/>
    <mergeCell ref="B20:G20"/>
    <mergeCell ref="B27:F27"/>
    <mergeCell ref="B22:G22"/>
    <mergeCell ref="B32:F32"/>
    <mergeCell ref="B37:F37"/>
    <mergeCell ref="B41:F41"/>
    <mergeCell ref="B46:F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E51" sqref="E51"/>
    </sheetView>
  </sheetViews>
  <sheetFormatPr defaultRowHeight="14.4" x14ac:dyDescent="0.3"/>
  <cols>
    <col min="1" max="1" width="7.5546875" style="70" bestFit="1" customWidth="1"/>
    <col min="2" max="2" width="39.6640625" style="71" customWidth="1"/>
    <col min="3" max="3" width="4.6640625" style="71" customWidth="1"/>
    <col min="4" max="4" width="6.5546875" style="71" customWidth="1"/>
    <col min="5" max="5" width="11.33203125" style="72" customWidth="1"/>
    <col min="6" max="6" width="12.88671875" style="72" customWidth="1"/>
    <col min="7" max="7" width="11.44140625" style="71" customWidth="1"/>
  </cols>
  <sheetData>
    <row r="1" spans="1:7" ht="8.1" customHeight="1" x14ac:dyDescent="0.3"/>
    <row r="2" spans="1:7" x14ac:dyDescent="0.3">
      <c r="A2" s="153" t="s">
        <v>11</v>
      </c>
      <c r="B2" s="153"/>
      <c r="C2" s="153"/>
      <c r="D2" s="153"/>
      <c r="E2" s="154"/>
      <c r="F2" s="155"/>
      <c r="G2" s="153"/>
    </row>
    <row r="3" spans="1:7" x14ac:dyDescent="0.3">
      <c r="A3" s="156" t="s">
        <v>12</v>
      </c>
      <c r="B3" s="153" t="s">
        <v>13</v>
      </c>
      <c r="C3" s="156"/>
      <c r="E3" s="157"/>
      <c r="F3" s="157"/>
      <c r="G3" s="156"/>
    </row>
    <row r="4" spans="1:7" x14ac:dyDescent="0.3">
      <c r="A4" s="156" t="s">
        <v>14</v>
      </c>
      <c r="B4" s="153"/>
      <c r="C4" s="156"/>
      <c r="D4" s="156"/>
      <c r="E4" s="154"/>
      <c r="F4" s="244"/>
      <c r="G4" s="244"/>
    </row>
    <row r="5" spans="1:7" x14ac:dyDescent="0.3">
      <c r="A5" s="156" t="s">
        <v>15</v>
      </c>
      <c r="B5" s="153" t="s">
        <v>82</v>
      </c>
      <c r="C5" s="156"/>
      <c r="D5" s="156"/>
      <c r="E5" s="154"/>
      <c r="F5" s="244" t="s">
        <v>17</v>
      </c>
      <c r="G5" s="244"/>
    </row>
    <row r="6" spans="1:7" ht="15" thickBot="1" x14ac:dyDescent="0.35">
      <c r="A6" s="156"/>
      <c r="B6" s="153"/>
      <c r="C6" s="156"/>
      <c r="D6" s="156"/>
      <c r="E6" s="158"/>
      <c r="F6" s="158"/>
      <c r="G6" s="156"/>
    </row>
    <row r="7" spans="1:7" ht="15" thickBot="1" x14ac:dyDescent="0.35">
      <c r="A7" s="245" t="s">
        <v>18</v>
      </c>
      <c r="B7" s="245" t="s">
        <v>19</v>
      </c>
      <c r="C7" s="245" t="s">
        <v>20</v>
      </c>
      <c r="D7" s="247" t="s">
        <v>21</v>
      </c>
      <c r="E7" s="249" t="s">
        <v>22</v>
      </c>
      <c r="F7" s="251" t="s">
        <v>23</v>
      </c>
      <c r="G7" s="252"/>
    </row>
    <row r="8" spans="1:7" ht="15" thickBot="1" x14ac:dyDescent="0.35">
      <c r="A8" s="246"/>
      <c r="B8" s="246" t="s">
        <v>24</v>
      </c>
      <c r="C8" s="246" t="s">
        <v>25</v>
      </c>
      <c r="D8" s="248" t="s">
        <v>26</v>
      </c>
      <c r="E8" s="250"/>
      <c r="F8" s="73" t="s">
        <v>27</v>
      </c>
      <c r="G8" s="74" t="s">
        <v>28</v>
      </c>
    </row>
    <row r="9" spans="1:7" ht="12" customHeight="1" x14ac:dyDescent="0.3">
      <c r="A9" s="253"/>
      <c r="B9" s="254"/>
      <c r="C9" s="254"/>
      <c r="D9" s="254"/>
      <c r="E9" s="254"/>
      <c r="F9" s="254"/>
      <c r="G9" s="255"/>
    </row>
    <row r="10" spans="1:7" x14ac:dyDescent="0.3">
      <c r="A10" s="159">
        <v>1</v>
      </c>
      <c r="B10" s="233" t="s">
        <v>29</v>
      </c>
      <c r="C10" s="234"/>
      <c r="D10" s="234"/>
      <c r="E10" s="234"/>
      <c r="F10" s="235"/>
      <c r="G10" s="75">
        <f>+SUM(F12:F12)</f>
        <v>0</v>
      </c>
    </row>
    <row r="11" spans="1:7" ht="6.9" customHeight="1" x14ac:dyDescent="0.3">
      <c r="A11" s="160"/>
      <c r="B11" s="161"/>
      <c r="C11" s="161"/>
      <c r="D11" s="161"/>
      <c r="E11" s="162"/>
      <c r="F11" s="162"/>
      <c r="G11" s="163"/>
    </row>
    <row r="12" spans="1:7" ht="39.6" x14ac:dyDescent="0.3">
      <c r="A12" s="76" t="s">
        <v>30</v>
      </c>
      <c r="B12" s="164" t="s">
        <v>31</v>
      </c>
      <c r="C12" s="77" t="s">
        <v>32</v>
      </c>
      <c r="D12" s="78">
        <f>49*0.15+0.85</f>
        <v>8.1999999999999993</v>
      </c>
      <c r="E12" s="79"/>
      <c r="F12" s="79">
        <f>+D12*E12</f>
        <v>0</v>
      </c>
      <c r="G12" s="80"/>
    </row>
    <row r="13" spans="1:7" ht="6.9" customHeight="1" x14ac:dyDescent="0.3">
      <c r="A13" s="165"/>
      <c r="B13" s="166"/>
      <c r="C13" s="166"/>
      <c r="D13" s="166"/>
      <c r="E13" s="167"/>
      <c r="F13" s="79"/>
      <c r="G13" s="168"/>
    </row>
    <row r="14" spans="1:7" x14ac:dyDescent="0.3">
      <c r="A14" s="159">
        <v>2</v>
      </c>
      <c r="B14" s="233" t="s">
        <v>36</v>
      </c>
      <c r="C14" s="234"/>
      <c r="D14" s="234"/>
      <c r="E14" s="234"/>
      <c r="F14" s="235"/>
      <c r="G14" s="75">
        <f>+SUM(F16:F17)</f>
        <v>0</v>
      </c>
    </row>
    <row r="15" spans="1:7" ht="6.9" customHeight="1" x14ac:dyDescent="0.3">
      <c r="A15" s="160"/>
      <c r="B15" s="161"/>
      <c r="C15" s="161"/>
      <c r="D15" s="161"/>
      <c r="E15" s="162"/>
      <c r="F15" s="162"/>
      <c r="G15" s="163"/>
    </row>
    <row r="16" spans="1:7" ht="51.75" customHeight="1" x14ac:dyDescent="0.3">
      <c r="A16" s="82" t="s">
        <v>37</v>
      </c>
      <c r="B16" s="83" t="s">
        <v>38</v>
      </c>
      <c r="C16" s="77" t="s">
        <v>35</v>
      </c>
      <c r="D16" s="78">
        <f>0.4*2.85+5</f>
        <v>6.1400000000000006</v>
      </c>
      <c r="E16" s="79"/>
      <c r="F16" s="79">
        <f t="shared" ref="F16:F17" si="0">D16*E16</f>
        <v>0</v>
      </c>
      <c r="G16" s="81"/>
    </row>
    <row r="17" spans="1:7" ht="81.599999999999994" x14ac:dyDescent="0.3">
      <c r="A17" s="82" t="s">
        <v>39</v>
      </c>
      <c r="B17" s="83" t="s">
        <v>40</v>
      </c>
      <c r="C17" s="77" t="s">
        <v>35</v>
      </c>
      <c r="D17" s="123">
        <v>5.5</v>
      </c>
      <c r="E17" s="79"/>
      <c r="F17" s="79">
        <f t="shared" si="0"/>
        <v>0</v>
      </c>
      <c r="G17" s="125"/>
    </row>
    <row r="18" spans="1:7" ht="6.9" customHeight="1" x14ac:dyDescent="0.3">
      <c r="A18" s="169"/>
      <c r="B18" s="170"/>
      <c r="C18" s="171"/>
      <c r="D18" s="171"/>
      <c r="E18" s="172"/>
      <c r="F18" s="173"/>
      <c r="G18" s="174"/>
    </row>
    <row r="19" spans="1:7" x14ac:dyDescent="0.3">
      <c r="A19" s="159">
        <v>3</v>
      </c>
      <c r="B19" s="233" t="s">
        <v>41</v>
      </c>
      <c r="C19" s="234"/>
      <c r="D19" s="234"/>
      <c r="E19" s="234"/>
      <c r="F19" s="235"/>
      <c r="G19" s="75">
        <f>SUM(F21:F23)</f>
        <v>0</v>
      </c>
    </row>
    <row r="20" spans="1:7" x14ac:dyDescent="0.3">
      <c r="A20" s="160"/>
      <c r="B20" s="161"/>
      <c r="C20" s="161"/>
      <c r="D20" s="161"/>
      <c r="E20" s="162"/>
      <c r="F20" s="162"/>
      <c r="G20" s="163"/>
    </row>
    <row r="21" spans="1:7" ht="92.4" x14ac:dyDescent="0.3">
      <c r="A21" s="76" t="s">
        <v>42</v>
      </c>
      <c r="B21" s="175" t="s">
        <v>43</v>
      </c>
      <c r="C21" s="176"/>
      <c r="D21" s="78"/>
      <c r="E21" s="79"/>
      <c r="F21" s="79"/>
      <c r="G21" s="81"/>
    </row>
    <row r="22" spans="1:7" ht="15.6" x14ac:dyDescent="0.3">
      <c r="A22" s="76" t="s">
        <v>44</v>
      </c>
      <c r="B22" s="175" t="s">
        <v>45</v>
      </c>
      <c r="C22" s="77" t="s">
        <v>32</v>
      </c>
      <c r="D22" s="79">
        <f>0.2*0.4*9.95*2+0.2*0.4*10.5*2+0.2*0.4*6+0.2*0.4*3.4</f>
        <v>4.0240000000000009</v>
      </c>
      <c r="E22" s="79"/>
      <c r="F22" s="79">
        <f t="shared" ref="F22:F23" si="1">D22*E22</f>
        <v>0</v>
      </c>
      <c r="G22" s="81"/>
    </row>
    <row r="23" spans="1:7" ht="15.6" x14ac:dyDescent="0.3">
      <c r="A23" s="76" t="s">
        <v>46</v>
      </c>
      <c r="B23" s="175" t="s">
        <v>47</v>
      </c>
      <c r="C23" s="77" t="s">
        <v>32</v>
      </c>
      <c r="D23" s="78">
        <f>49*0.15</f>
        <v>7.35</v>
      </c>
      <c r="E23" s="79"/>
      <c r="F23" s="79">
        <f t="shared" si="1"/>
        <v>0</v>
      </c>
      <c r="G23" s="81"/>
    </row>
    <row r="24" spans="1:7" ht="6.9" customHeight="1" x14ac:dyDescent="0.3">
      <c r="A24" s="165"/>
      <c r="B24" s="177"/>
      <c r="C24" s="177"/>
      <c r="D24" s="177"/>
      <c r="E24" s="178"/>
      <c r="F24" s="178"/>
      <c r="G24" s="179"/>
    </row>
    <row r="25" spans="1:7" x14ac:dyDescent="0.3">
      <c r="A25" s="159">
        <v>4</v>
      </c>
      <c r="B25" s="233" t="s">
        <v>48</v>
      </c>
      <c r="C25" s="234"/>
      <c r="D25" s="234"/>
      <c r="E25" s="234"/>
      <c r="F25" s="235"/>
      <c r="G25" s="75">
        <f>SUM(F27:F28)</f>
        <v>0</v>
      </c>
    </row>
    <row r="26" spans="1:7" x14ac:dyDescent="0.3">
      <c r="A26" s="82"/>
      <c r="B26" s="83"/>
      <c r="C26" s="77"/>
      <c r="D26" s="78"/>
      <c r="E26" s="79"/>
      <c r="F26" s="79"/>
      <c r="G26" s="81"/>
    </row>
    <row r="27" spans="1:7" ht="66" x14ac:dyDescent="0.3">
      <c r="A27" s="82" t="s">
        <v>49</v>
      </c>
      <c r="B27" s="83" t="s">
        <v>50</v>
      </c>
      <c r="C27" s="77" t="s">
        <v>35</v>
      </c>
      <c r="D27" s="78">
        <f>50*2.85+8*2.85+5.42*2.85</f>
        <v>180.74700000000001</v>
      </c>
      <c r="E27" s="79"/>
      <c r="F27" s="79">
        <f>+D27*E27</f>
        <v>0</v>
      </c>
      <c r="G27" s="81"/>
    </row>
    <row r="28" spans="1:7" ht="39.6" x14ac:dyDescent="0.3">
      <c r="A28" s="82" t="s">
        <v>51</v>
      </c>
      <c r="B28" s="84" t="s">
        <v>83</v>
      </c>
      <c r="C28" s="77" t="s">
        <v>35</v>
      </c>
      <c r="D28" s="78">
        <f>21.31*2.85+5</f>
        <v>65.733499999999992</v>
      </c>
      <c r="E28" s="79"/>
      <c r="F28" s="79">
        <f>+D28*E28</f>
        <v>0</v>
      </c>
      <c r="G28" s="81"/>
    </row>
    <row r="29" spans="1:7" x14ac:dyDescent="0.3">
      <c r="A29" s="82"/>
      <c r="B29" s="83"/>
      <c r="C29" s="77"/>
      <c r="D29" s="78"/>
      <c r="E29" s="79"/>
      <c r="F29" s="79"/>
      <c r="G29" s="81"/>
    </row>
    <row r="30" spans="1:7" x14ac:dyDescent="0.3">
      <c r="A30" s="159">
        <v>5</v>
      </c>
      <c r="B30" s="233" t="s">
        <v>57</v>
      </c>
      <c r="C30" s="234"/>
      <c r="D30" s="234"/>
      <c r="E30" s="234"/>
      <c r="F30" s="235"/>
      <c r="G30" s="75">
        <f>+SUM(F32:F34)</f>
        <v>0</v>
      </c>
    </row>
    <row r="31" spans="1:7" ht="6.9" customHeight="1" x14ac:dyDescent="0.3">
      <c r="A31" s="82"/>
      <c r="B31" s="83"/>
      <c r="C31" s="180"/>
      <c r="D31" s="78"/>
      <c r="E31" s="79"/>
      <c r="F31" s="79"/>
      <c r="G31" s="81"/>
    </row>
    <row r="32" spans="1:7" x14ac:dyDescent="0.3">
      <c r="A32" s="82" t="s">
        <v>58</v>
      </c>
      <c r="B32" s="85" t="s">
        <v>59</v>
      </c>
      <c r="C32" s="180"/>
      <c r="D32" s="78"/>
      <c r="E32" s="79"/>
      <c r="F32" s="79"/>
      <c r="G32" s="81"/>
    </row>
    <row r="33" spans="1:7" ht="66" x14ac:dyDescent="0.3">
      <c r="A33" s="82" t="s">
        <v>84</v>
      </c>
      <c r="B33" s="83" t="s">
        <v>60</v>
      </c>
      <c r="C33" s="77" t="s">
        <v>61</v>
      </c>
      <c r="D33" s="78">
        <v>1</v>
      </c>
      <c r="E33" s="79"/>
      <c r="F33" s="79"/>
      <c r="G33" s="81"/>
    </row>
    <row r="34" spans="1:7" ht="66" x14ac:dyDescent="0.3">
      <c r="A34" s="82" t="s">
        <v>85</v>
      </c>
      <c r="B34" s="83" t="s">
        <v>63</v>
      </c>
      <c r="C34" s="77" t="s">
        <v>61</v>
      </c>
      <c r="D34" s="78">
        <v>1</v>
      </c>
      <c r="E34" s="79"/>
      <c r="F34" s="79"/>
      <c r="G34" s="81"/>
    </row>
    <row r="35" spans="1:7" ht="6.9" customHeight="1" x14ac:dyDescent="0.3">
      <c r="A35" s="82"/>
      <c r="B35" s="83"/>
      <c r="C35" s="180"/>
      <c r="D35" s="78"/>
      <c r="E35" s="79"/>
      <c r="F35" s="79"/>
      <c r="G35" s="81"/>
    </row>
    <row r="36" spans="1:7" x14ac:dyDescent="0.3">
      <c r="A36" s="159">
        <v>6</v>
      </c>
      <c r="B36" s="233" t="s">
        <v>66</v>
      </c>
      <c r="C36" s="234"/>
      <c r="D36" s="234"/>
      <c r="E36" s="234"/>
      <c r="F36" s="235"/>
      <c r="G36" s="75">
        <f>+SUM(F38)</f>
        <v>0</v>
      </c>
    </row>
    <row r="37" spans="1:7" ht="6.9" customHeight="1" x14ac:dyDescent="0.3">
      <c r="A37" s="82"/>
      <c r="B37" s="83"/>
      <c r="C37" s="180"/>
      <c r="D37" s="78"/>
      <c r="E37" s="79"/>
      <c r="F37" s="79"/>
      <c r="G37" s="81"/>
    </row>
    <row r="38" spans="1:7" ht="52.8" x14ac:dyDescent="0.3">
      <c r="A38" s="82" t="s">
        <v>67</v>
      </c>
      <c r="B38" s="83" t="s">
        <v>68</v>
      </c>
      <c r="C38" s="77" t="s">
        <v>61</v>
      </c>
      <c r="D38" s="78">
        <v>1</v>
      </c>
      <c r="E38" s="79"/>
      <c r="F38" s="79">
        <f t="shared" ref="F38" si="2">D38*E38</f>
        <v>0</v>
      </c>
      <c r="G38" s="81"/>
    </row>
    <row r="39" spans="1:7" x14ac:dyDescent="0.3">
      <c r="A39" s="82"/>
      <c r="B39" s="83"/>
      <c r="C39" s="77"/>
      <c r="D39" s="78"/>
      <c r="E39" s="79"/>
      <c r="F39" s="79"/>
      <c r="G39" s="81"/>
    </row>
    <row r="40" spans="1:7" x14ac:dyDescent="0.3">
      <c r="A40" s="159">
        <v>7</v>
      </c>
      <c r="B40" s="233" t="s">
        <v>69</v>
      </c>
      <c r="C40" s="234"/>
      <c r="D40" s="234"/>
      <c r="E40" s="234"/>
      <c r="F40" s="235"/>
      <c r="G40" s="75">
        <f>SUM(F42:F43)</f>
        <v>0</v>
      </c>
    </row>
    <row r="41" spans="1:7" x14ac:dyDescent="0.3">
      <c r="A41" s="122"/>
      <c r="B41" s="84"/>
      <c r="C41" s="181"/>
      <c r="D41" s="123"/>
      <c r="E41" s="124"/>
      <c r="F41" s="173"/>
      <c r="G41" s="125"/>
    </row>
    <row r="42" spans="1:7" ht="66" x14ac:dyDescent="0.3">
      <c r="A42" s="122" t="s">
        <v>70</v>
      </c>
      <c r="B42" s="83" t="s">
        <v>60</v>
      </c>
      <c r="C42" s="181" t="s">
        <v>86</v>
      </c>
      <c r="D42" s="123">
        <v>1</v>
      </c>
      <c r="E42" s="124"/>
      <c r="F42" s="173">
        <f>+D42*E42</f>
        <v>0</v>
      </c>
      <c r="G42" s="125"/>
    </row>
    <row r="43" spans="1:7" ht="66" x14ac:dyDescent="0.3">
      <c r="A43" s="122" t="s">
        <v>87</v>
      </c>
      <c r="B43" s="83" t="s">
        <v>63</v>
      </c>
      <c r="C43" s="181" t="s">
        <v>86</v>
      </c>
      <c r="D43" s="123">
        <v>1</v>
      </c>
      <c r="E43" s="124"/>
      <c r="F43" s="173">
        <f>+D43*E43</f>
        <v>0</v>
      </c>
      <c r="G43" s="125"/>
    </row>
    <row r="44" spans="1:7" x14ac:dyDescent="0.3">
      <c r="A44" s="82"/>
      <c r="B44" s="83"/>
      <c r="C44" s="77"/>
      <c r="D44" s="78"/>
      <c r="E44" s="79"/>
      <c r="F44" s="79"/>
      <c r="G44" s="81"/>
    </row>
    <row r="45" spans="1:7" x14ac:dyDescent="0.3">
      <c r="A45" s="159">
        <v>8</v>
      </c>
      <c r="B45" s="233" t="s">
        <v>88</v>
      </c>
      <c r="C45" s="234"/>
      <c r="D45" s="234"/>
      <c r="E45" s="234"/>
      <c r="F45" s="235"/>
      <c r="G45" s="75">
        <f>+F47</f>
        <v>0</v>
      </c>
    </row>
    <row r="46" spans="1:7" x14ac:dyDescent="0.3">
      <c r="A46" s="82"/>
      <c r="B46" s="83"/>
      <c r="C46" s="77"/>
      <c r="D46" s="78"/>
      <c r="E46" s="79"/>
      <c r="F46" s="79"/>
      <c r="G46" s="81"/>
    </row>
    <row r="47" spans="1:7" ht="67.2" x14ac:dyDescent="0.3">
      <c r="A47" s="82" t="s">
        <v>74</v>
      </c>
      <c r="B47" s="83" t="s">
        <v>80</v>
      </c>
      <c r="C47" s="77" t="s">
        <v>61</v>
      </c>
      <c r="D47" s="78">
        <v>1</v>
      </c>
      <c r="E47" s="79"/>
      <c r="F47" s="79">
        <f>+D47*E47</f>
        <v>0</v>
      </c>
      <c r="G47" s="81"/>
    </row>
    <row r="48" spans="1:7" ht="15" thickBot="1" x14ac:dyDescent="0.35">
      <c r="A48" s="82"/>
      <c r="B48" s="86"/>
      <c r="C48" s="77"/>
      <c r="D48" s="87"/>
      <c r="E48" s="79"/>
      <c r="F48" s="79"/>
      <c r="G48" s="81"/>
    </row>
    <row r="49" spans="1:7" x14ac:dyDescent="0.3">
      <c r="A49" s="88"/>
      <c r="B49" s="236"/>
      <c r="C49" s="237"/>
      <c r="D49" s="237"/>
      <c r="E49" s="237"/>
      <c r="F49" s="238"/>
      <c r="G49" s="239">
        <f>+SUM(G10:G48)</f>
        <v>0</v>
      </c>
    </row>
    <row r="50" spans="1:7" ht="15" thickBot="1" x14ac:dyDescent="0.35">
      <c r="A50" s="89"/>
      <c r="B50" s="241" t="s">
        <v>81</v>
      </c>
      <c r="C50" s="242"/>
      <c r="D50" s="242"/>
      <c r="E50" s="242"/>
      <c r="F50" s="243"/>
      <c r="G50" s="240"/>
    </row>
  </sheetData>
  <mergeCells count="20">
    <mergeCell ref="B36:F36"/>
    <mergeCell ref="B40:F40"/>
    <mergeCell ref="B49:F49"/>
    <mergeCell ref="B45:F45"/>
    <mergeCell ref="G49:G50"/>
    <mergeCell ref="B50:F50"/>
    <mergeCell ref="B30:F30"/>
    <mergeCell ref="F4:G4"/>
    <mergeCell ref="F5:G5"/>
    <mergeCell ref="A7:A8"/>
    <mergeCell ref="E7:E8"/>
    <mergeCell ref="F7:G7"/>
    <mergeCell ref="A9:G9"/>
    <mergeCell ref="B10:F10"/>
    <mergeCell ref="B14:F14"/>
    <mergeCell ref="B7:B8"/>
    <mergeCell ref="C7:C8"/>
    <mergeCell ref="D7:D8"/>
    <mergeCell ref="B19:F19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2</vt:i4>
      </vt:variant>
    </vt:vector>
  </HeadingPairs>
  <TitlesOfParts>
    <vt:vector size="14" baseType="lpstr">
      <vt:lpstr>Lista das Casas</vt:lpstr>
      <vt:lpstr>Resumo Lote 8</vt:lpstr>
      <vt:lpstr>Hermínia Mendes</vt:lpstr>
      <vt:lpstr>Maria De Fatima Morreira</vt:lpstr>
      <vt:lpstr>Maria do Carmo</vt:lpstr>
      <vt:lpstr>Maria Olinda</vt:lpstr>
      <vt:lpstr>Maria De Jesus</vt:lpstr>
      <vt:lpstr>Domingos Pereira Semedo</vt:lpstr>
      <vt:lpstr>Ariana Patricia</vt:lpstr>
      <vt:lpstr>Maria Lopes Oliveira</vt:lpstr>
      <vt:lpstr>Manuel Tavares da Silva</vt:lpstr>
      <vt:lpstr>Guilhermina Fernandes</vt:lpstr>
      <vt:lpstr>'Resumo Lote 8'!Área_de_Impressão</vt:lpstr>
      <vt:lpstr>'Resumo Lote 8'!Títulos_de_Impressão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Pinheiro</cp:lastModifiedBy>
  <cp:lastPrinted>2023-08-08T13:23:09Z</cp:lastPrinted>
  <dcterms:created xsi:type="dcterms:W3CDTF">2022-11-23T11:26:52Z</dcterms:created>
  <dcterms:modified xsi:type="dcterms:W3CDTF">2023-08-08T15:50:53Z</dcterms:modified>
</cp:coreProperties>
</file>